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vsd" ContentType="application/vnd.visio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garvey\Documents\00 Projects\A4450 BuckBoost\Design Tool\"/>
    </mc:Choice>
  </mc:AlternateContent>
  <bookViews>
    <workbookView xWindow="5670" yWindow="3465" windowWidth="19155" windowHeight="8580"/>
  </bookViews>
  <sheets>
    <sheet name="Design" sheetId="1" r:id="rId1"/>
    <sheet name="Snubber" sheetId="8" r:id="rId2"/>
    <sheet name="Efficiency" sheetId="12" r:id="rId3"/>
    <sheet name="Constants" sheetId="2" r:id="rId4"/>
  </sheets>
  <definedNames>
    <definedName name="D_Buck0">Design!$C$6</definedName>
    <definedName name="DBoost_MAX">Design!$C$42</definedName>
    <definedName name="Fsw">Design!$B$46</definedName>
    <definedName name="Fsw_Sel">Design!$B$30</definedName>
    <definedName name="Iout">Design!$D$7</definedName>
    <definedName name="Lo">Design!$B$51</definedName>
    <definedName name="LoDCR">Design!$B$52</definedName>
    <definedName name="_xlnm.Print_Area" localSheetId="0">Design!$A$1:$I$99</definedName>
    <definedName name="_xlnm.Print_Area" localSheetId="1">Snubber!$A$2:$I$34</definedName>
    <definedName name="Qg_boost">Design!$D$17</definedName>
    <definedName name="Rds_boost_max">Design!$D$16</definedName>
    <definedName name="RippleIout_percent">Design!$C$6</definedName>
    <definedName name="RNG">Design!$C$40</definedName>
    <definedName name="Rthja">Design!$C$13</definedName>
    <definedName name="Snubber">Efficiency!$D$83</definedName>
    <definedName name="SysDuty_typ">Design!$C$27</definedName>
    <definedName name="UVLO_Hysteresis">Constants!$B$8</definedName>
    <definedName name="UVLO_multip">Constants!$C$9</definedName>
    <definedName name="VF">Design!$B$24</definedName>
    <definedName name="Vin_max">Design!$D$4</definedName>
    <definedName name="Vin_min">Design!$B$4</definedName>
    <definedName name="Vin_mode">Design!$C$41</definedName>
    <definedName name="Vin_typ">Design!$C$4</definedName>
    <definedName name="Vout">Design!#REF!</definedName>
    <definedName name="Vout_target">Design!$C$5</definedName>
    <definedName name="Vout_typ">Design!$C$36</definedName>
  </definedNames>
  <calcPr calcId="152511" iterate="1" iterateCount="1083"/>
</workbook>
</file>

<file path=xl/calcChain.xml><?xml version="1.0" encoding="utf-8"?>
<calcChain xmlns="http://schemas.openxmlformats.org/spreadsheetml/2006/main">
  <c r="B61" i="1" l="1"/>
  <c r="Y27" i="1" l="1"/>
  <c r="X28" i="1"/>
  <c r="Y28" i="1" s="1"/>
  <c r="D44" i="1"/>
  <c r="B44" i="1"/>
  <c r="BK4" i="12" l="1"/>
  <c r="BS4" i="12"/>
  <c r="CB4" i="12"/>
  <c r="CD4" i="12"/>
  <c r="X26" i="1" l="1"/>
  <c r="Y26" i="1" s="1"/>
  <c r="U31" i="1" l="1"/>
  <c r="V31" i="1" s="1"/>
  <c r="W31" i="1" s="1"/>
  <c r="V34" i="1" l="1"/>
  <c r="X31" i="1"/>
  <c r="U34" i="1"/>
  <c r="U39" i="1" l="1"/>
  <c r="U48" i="1"/>
  <c r="X34" i="1"/>
  <c r="V48" i="1"/>
  <c r="V39" i="1"/>
  <c r="V30" i="1"/>
  <c r="Y31" i="1"/>
  <c r="W34" i="1"/>
  <c r="C42" i="1"/>
  <c r="X48" i="1" l="1"/>
  <c r="X30" i="1"/>
  <c r="W30" i="1"/>
  <c r="W48" i="1"/>
  <c r="X39" i="1"/>
  <c r="Z31" i="1"/>
  <c r="Y34" i="1"/>
  <c r="Y39" i="1" s="1"/>
  <c r="W39" i="1"/>
  <c r="E17" i="12"/>
  <c r="E18" i="12"/>
  <c r="E19" i="12"/>
  <c r="E20" i="12"/>
  <c r="E21" i="12"/>
  <c r="E22" i="12"/>
  <c r="E23" i="12"/>
  <c r="E24" i="12"/>
  <c r="E25" i="12"/>
  <c r="E16" i="12"/>
  <c r="E5" i="12"/>
  <c r="E6" i="12"/>
  <c r="E7" i="12"/>
  <c r="E8" i="12"/>
  <c r="E9" i="12"/>
  <c r="E10" i="12"/>
  <c r="E11" i="12"/>
  <c r="E12" i="12"/>
  <c r="E13" i="12"/>
  <c r="E4" i="12"/>
  <c r="Y48" i="1" l="1"/>
  <c r="Y30" i="1"/>
  <c r="AA31" i="1"/>
  <c r="Z34" i="1"/>
  <c r="Z39" i="1" s="1"/>
  <c r="AH16" i="12"/>
  <c r="AB31" i="1" l="1"/>
  <c r="AA34" i="1"/>
  <c r="AA39" i="1" s="1"/>
  <c r="Z48" i="1"/>
  <c r="Z30" i="1"/>
  <c r="BH4" i="12"/>
  <c r="AA48" i="1" l="1"/>
  <c r="AA30" i="1"/>
  <c r="AC31" i="1"/>
  <c r="AB34" i="1"/>
  <c r="B81" i="1"/>
  <c r="B74" i="1"/>
  <c r="CB17" i="12"/>
  <c r="CB18" i="12"/>
  <c r="CB19" i="12"/>
  <c r="CB20" i="12"/>
  <c r="CB21" i="12"/>
  <c r="CB22" i="12"/>
  <c r="CB23" i="12"/>
  <c r="CB24" i="12"/>
  <c r="CB25" i="12"/>
  <c r="CB16" i="12"/>
  <c r="CB5" i="12"/>
  <c r="CB6" i="12"/>
  <c r="CB7" i="12"/>
  <c r="CB8" i="12"/>
  <c r="CB9" i="12"/>
  <c r="CB10" i="12"/>
  <c r="CB11" i="12"/>
  <c r="CB12" i="12"/>
  <c r="CB13" i="12"/>
  <c r="AY17" i="12"/>
  <c r="AY18" i="12"/>
  <c r="AY19" i="12"/>
  <c r="AY20" i="12"/>
  <c r="AY21" i="12"/>
  <c r="AY22" i="12"/>
  <c r="AY23" i="12"/>
  <c r="AY24" i="12"/>
  <c r="AY25" i="12"/>
  <c r="AY16" i="12"/>
  <c r="AY5" i="12"/>
  <c r="AY6" i="12"/>
  <c r="AY7" i="12"/>
  <c r="AY8" i="12"/>
  <c r="AY9" i="12"/>
  <c r="AY10" i="12"/>
  <c r="AY11" i="12"/>
  <c r="AY12" i="12"/>
  <c r="AY13" i="12"/>
  <c r="AY4" i="12"/>
  <c r="AD31" i="1" l="1"/>
  <c r="AC34" i="1"/>
  <c r="AB48" i="1"/>
  <c r="AB30" i="1"/>
  <c r="AB39" i="1"/>
  <c r="D83" i="12"/>
  <c r="AC48" i="1" l="1"/>
  <c r="AC30" i="1"/>
  <c r="AC39" i="1"/>
  <c r="AE31" i="1"/>
  <c r="AD34" i="1"/>
  <c r="B17" i="8"/>
  <c r="AF31" i="1" l="1"/>
  <c r="AE34" i="1"/>
  <c r="AE39" i="1" s="1"/>
  <c r="AD48" i="1"/>
  <c r="AD30" i="1"/>
  <c r="AD39" i="1"/>
  <c r="CD17" i="12"/>
  <c r="CD18" i="12"/>
  <c r="CD19" i="12"/>
  <c r="CD20" i="12"/>
  <c r="CD21" i="12"/>
  <c r="CD22" i="12"/>
  <c r="CD23" i="12"/>
  <c r="CD24" i="12"/>
  <c r="CD25" i="12"/>
  <c r="BS17" i="12"/>
  <c r="BS18" i="12"/>
  <c r="BS19" i="12"/>
  <c r="BS20" i="12"/>
  <c r="BS21" i="12"/>
  <c r="BS22" i="12"/>
  <c r="BS23" i="12"/>
  <c r="BS24" i="12"/>
  <c r="BS25" i="12"/>
  <c r="BK17" i="12"/>
  <c r="BK18" i="12"/>
  <c r="BK19" i="12"/>
  <c r="BK20" i="12"/>
  <c r="BK21" i="12"/>
  <c r="BK22" i="12"/>
  <c r="BK23" i="12"/>
  <c r="BK24" i="12"/>
  <c r="BK25" i="12"/>
  <c r="CD16" i="12"/>
  <c r="BS16" i="12"/>
  <c r="BK16" i="12"/>
  <c r="BH16" i="12"/>
  <c r="X17" i="12"/>
  <c r="X18" i="12"/>
  <c r="X19" i="12"/>
  <c r="X20" i="12"/>
  <c r="X21" i="12"/>
  <c r="X22" i="12"/>
  <c r="X23" i="12"/>
  <c r="X24" i="12"/>
  <c r="X25" i="12"/>
  <c r="X16" i="12"/>
  <c r="BA17" i="12"/>
  <c r="BA18" i="12"/>
  <c r="BA19" i="12"/>
  <c r="BA20" i="12"/>
  <c r="BA21" i="12"/>
  <c r="BA22" i="12"/>
  <c r="BA23" i="12"/>
  <c r="BA24" i="12"/>
  <c r="BA25" i="12"/>
  <c r="BA16" i="12"/>
  <c r="AE48" i="1" l="1"/>
  <c r="AE30" i="1"/>
  <c r="AG31" i="1"/>
  <c r="AF34" i="1"/>
  <c r="BH17" i="12"/>
  <c r="X5" i="12"/>
  <c r="X6" i="12"/>
  <c r="X7" i="12"/>
  <c r="X8" i="12"/>
  <c r="X9" i="12"/>
  <c r="X10" i="12"/>
  <c r="X11" i="12"/>
  <c r="X12" i="12"/>
  <c r="X13" i="12"/>
  <c r="BA5" i="12"/>
  <c r="BA6" i="12"/>
  <c r="BA7" i="12"/>
  <c r="BA8" i="12"/>
  <c r="BA9" i="12"/>
  <c r="BA10" i="12"/>
  <c r="BA11" i="12"/>
  <c r="BA12" i="12"/>
  <c r="BA13" i="12"/>
  <c r="BA4" i="12"/>
  <c r="X4" i="12"/>
  <c r="BS5" i="12"/>
  <c r="BS6" i="12"/>
  <c r="BS7" i="12"/>
  <c r="BS8" i="12"/>
  <c r="BS9" i="12"/>
  <c r="BS10" i="12"/>
  <c r="BS11" i="12"/>
  <c r="BS12" i="12"/>
  <c r="BS13" i="12"/>
  <c r="BK5" i="12"/>
  <c r="BK6" i="12"/>
  <c r="BK7" i="12"/>
  <c r="BK8" i="12"/>
  <c r="BK9" i="12"/>
  <c r="BK10" i="12"/>
  <c r="BK11" i="12"/>
  <c r="BK12" i="12"/>
  <c r="BK13" i="12"/>
  <c r="CD5" i="12"/>
  <c r="CD6" i="12"/>
  <c r="CD7" i="12"/>
  <c r="CD8" i="12"/>
  <c r="CD9" i="12"/>
  <c r="CD10" i="12"/>
  <c r="CD11" i="12"/>
  <c r="CD12" i="12"/>
  <c r="CD13" i="12"/>
  <c r="AH31" i="1" l="1"/>
  <c r="AG34" i="1"/>
  <c r="AF48" i="1"/>
  <c r="AF30" i="1"/>
  <c r="AF39" i="1"/>
  <c r="BH18" i="12"/>
  <c r="BH5" i="12"/>
  <c r="AP17" i="12"/>
  <c r="AP18" i="12"/>
  <c r="AP19" i="12"/>
  <c r="AP20" i="12"/>
  <c r="AP21" i="12"/>
  <c r="AP22" i="12"/>
  <c r="AP23" i="12"/>
  <c r="AP24" i="12"/>
  <c r="AP25" i="12"/>
  <c r="AH17" i="12"/>
  <c r="AH18" i="12"/>
  <c r="AH19" i="12"/>
  <c r="AH20" i="12"/>
  <c r="AH21" i="12"/>
  <c r="AH22" i="12"/>
  <c r="AH23" i="12"/>
  <c r="AH24" i="12"/>
  <c r="AH25" i="12"/>
  <c r="AP16" i="12"/>
  <c r="AE16" i="12"/>
  <c r="AP5" i="12"/>
  <c r="AP6" i="12"/>
  <c r="AP7" i="12"/>
  <c r="AP8" i="12"/>
  <c r="AP9" i="12"/>
  <c r="AP10" i="12"/>
  <c r="AP11" i="12"/>
  <c r="AP12" i="12"/>
  <c r="AP13" i="12"/>
  <c r="AH5" i="12"/>
  <c r="AH6" i="12"/>
  <c r="AH7" i="12"/>
  <c r="AH8" i="12"/>
  <c r="AH9" i="12"/>
  <c r="AH10" i="12"/>
  <c r="AH11" i="12"/>
  <c r="AH12" i="12"/>
  <c r="AH13" i="12"/>
  <c r="AP4" i="12"/>
  <c r="AH4" i="12"/>
  <c r="AE4" i="12"/>
  <c r="AG48" i="1" l="1"/>
  <c r="AG30" i="1"/>
  <c r="AG39" i="1"/>
  <c r="AI31" i="1"/>
  <c r="AH34" i="1"/>
  <c r="BH19" i="12"/>
  <c r="BH6" i="12"/>
  <c r="AE17" i="12"/>
  <c r="AE5" i="12"/>
  <c r="M17" i="12"/>
  <c r="M18" i="12"/>
  <c r="M19" i="12"/>
  <c r="M20" i="12"/>
  <c r="M21" i="12"/>
  <c r="M22" i="12"/>
  <c r="M23" i="12"/>
  <c r="M24" i="12"/>
  <c r="M25" i="12"/>
  <c r="M16" i="12"/>
  <c r="B16" i="12"/>
  <c r="M5" i="12"/>
  <c r="M6" i="12"/>
  <c r="M7" i="12"/>
  <c r="M8" i="12"/>
  <c r="M9" i="12"/>
  <c r="M10" i="12"/>
  <c r="M11" i="12"/>
  <c r="M12" i="12"/>
  <c r="M13" i="12"/>
  <c r="AJ31" i="1" l="1"/>
  <c r="AI34" i="1"/>
  <c r="AH48" i="1"/>
  <c r="AH30" i="1"/>
  <c r="AH39" i="1"/>
  <c r="B17" i="12"/>
  <c r="BH20" i="12"/>
  <c r="BH7" i="12"/>
  <c r="AE6" i="12"/>
  <c r="AE18" i="12"/>
  <c r="B4" i="12"/>
  <c r="AI48" i="1" l="1"/>
  <c r="AI30" i="1"/>
  <c r="AI39" i="1"/>
  <c r="AK31" i="1"/>
  <c r="AJ34" i="1"/>
  <c r="N4" i="12"/>
  <c r="B18" i="12"/>
  <c r="BH8" i="12"/>
  <c r="BH21" i="12"/>
  <c r="AE19" i="12"/>
  <c r="AE7" i="12"/>
  <c r="B5" i="12"/>
  <c r="AL31" i="1" l="1"/>
  <c r="AK34" i="1"/>
  <c r="AK39" i="1" s="1"/>
  <c r="AJ48" i="1"/>
  <c r="AJ30" i="1"/>
  <c r="AJ39" i="1"/>
  <c r="B19" i="12"/>
  <c r="B6" i="12"/>
  <c r="N5" i="12"/>
  <c r="BH22" i="12"/>
  <c r="BH9" i="12"/>
  <c r="AE8" i="12"/>
  <c r="AE20" i="12"/>
  <c r="AK48" i="1" l="1"/>
  <c r="AK30" i="1"/>
  <c r="AM31" i="1"/>
  <c r="AL34" i="1"/>
  <c r="AL39" i="1" s="1"/>
  <c r="B20" i="12"/>
  <c r="B7" i="12"/>
  <c r="N6" i="12"/>
  <c r="BH23" i="12"/>
  <c r="BH10" i="12"/>
  <c r="AE21" i="12"/>
  <c r="AE9" i="12"/>
  <c r="AN31" i="1" l="1"/>
  <c r="AM34" i="1"/>
  <c r="AL48" i="1"/>
  <c r="AL30" i="1"/>
  <c r="B21" i="12"/>
  <c r="B8" i="12"/>
  <c r="N7" i="12"/>
  <c r="BH24" i="12"/>
  <c r="BH11" i="12"/>
  <c r="AE10" i="12"/>
  <c r="AE22" i="12"/>
  <c r="AM48" i="1" l="1"/>
  <c r="AM30" i="1"/>
  <c r="AM39" i="1"/>
  <c r="AO31" i="1"/>
  <c r="AN34" i="1"/>
  <c r="B22" i="12"/>
  <c r="B9" i="12"/>
  <c r="N8" i="12"/>
  <c r="BH25" i="12"/>
  <c r="BH12" i="12"/>
  <c r="AE23" i="12"/>
  <c r="AE11" i="12"/>
  <c r="AP31" i="1" l="1"/>
  <c r="AO34" i="1"/>
  <c r="AO39" i="1" s="1"/>
  <c r="AN48" i="1"/>
  <c r="AN30" i="1"/>
  <c r="AN39" i="1"/>
  <c r="B23" i="12"/>
  <c r="B10" i="12"/>
  <c r="N9" i="12"/>
  <c r="BH13" i="12"/>
  <c r="AE12" i="12"/>
  <c r="AE24" i="12"/>
  <c r="AO48" i="1" l="1"/>
  <c r="AO30" i="1"/>
  <c r="AQ31" i="1"/>
  <c r="AP34" i="1"/>
  <c r="B24" i="12"/>
  <c r="B11" i="12"/>
  <c r="N10" i="12"/>
  <c r="AE25" i="12"/>
  <c r="AE13" i="12"/>
  <c r="AP48" i="1" l="1"/>
  <c r="AP30" i="1"/>
  <c r="AP39" i="1"/>
  <c r="AR31" i="1"/>
  <c r="AQ34" i="1"/>
  <c r="AQ39" i="1" s="1"/>
  <c r="B25" i="12"/>
  <c r="B12" i="12"/>
  <c r="N11" i="12"/>
  <c r="AS31" i="1" l="1"/>
  <c r="AR34" i="1"/>
  <c r="AQ48" i="1"/>
  <c r="AQ30" i="1"/>
  <c r="B13" i="12"/>
  <c r="N12" i="12"/>
  <c r="AR48" i="1" l="1"/>
  <c r="AR30" i="1"/>
  <c r="AR39" i="1"/>
  <c r="AT31" i="1"/>
  <c r="AS34" i="1"/>
  <c r="N13" i="12"/>
  <c r="B64" i="1"/>
  <c r="AU31" i="1" l="1"/>
  <c r="AT34" i="1"/>
  <c r="AS48" i="1"/>
  <c r="AS30" i="1"/>
  <c r="AS39" i="1"/>
  <c r="C43" i="1"/>
  <c r="AT48" i="1" l="1"/>
  <c r="AT30" i="1"/>
  <c r="AT39" i="1"/>
  <c r="AV31" i="1"/>
  <c r="AU34" i="1"/>
  <c r="B47" i="1"/>
  <c r="B24" i="1"/>
  <c r="AU48" i="1" l="1"/>
  <c r="AU30" i="1"/>
  <c r="AW31" i="1"/>
  <c r="AV34" i="1"/>
  <c r="AU39" i="1"/>
  <c r="B54" i="1"/>
  <c r="B56" i="1" s="1"/>
  <c r="B53" i="1"/>
  <c r="B55" i="1" s="1"/>
  <c r="AX31" i="1" l="1"/>
  <c r="AW34" i="1"/>
  <c r="AV48" i="1"/>
  <c r="AV30" i="1"/>
  <c r="AV39" i="1"/>
  <c r="C41" i="1"/>
  <c r="BX4" i="12" l="1"/>
  <c r="BM4" i="12"/>
  <c r="BT4" i="12"/>
  <c r="V41" i="1"/>
  <c r="U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W48" i="1"/>
  <c r="AW30" i="1"/>
  <c r="AW39" i="1"/>
  <c r="AY31" i="1"/>
  <c r="AX41" i="1"/>
  <c r="AX34" i="1"/>
  <c r="B67" i="1"/>
  <c r="B50" i="1"/>
  <c r="B66" i="1"/>
  <c r="BX20" i="12"/>
  <c r="BX24" i="12"/>
  <c r="BX6" i="12"/>
  <c r="BX10" i="12"/>
  <c r="AU20" i="12"/>
  <c r="AU24" i="12"/>
  <c r="AU6" i="12"/>
  <c r="AU10" i="12"/>
  <c r="AU4" i="12"/>
  <c r="R20" i="12"/>
  <c r="R24" i="12"/>
  <c r="R6" i="12"/>
  <c r="R10" i="12"/>
  <c r="R4" i="12"/>
  <c r="BX17" i="12"/>
  <c r="BX21" i="12"/>
  <c r="BX25" i="12"/>
  <c r="BX7" i="12"/>
  <c r="BX11" i="12"/>
  <c r="AU17" i="12"/>
  <c r="AU21" i="12"/>
  <c r="AU25" i="12"/>
  <c r="AU7" i="12"/>
  <c r="AU11" i="12"/>
  <c r="R17" i="12"/>
  <c r="R21" i="12"/>
  <c r="R25" i="12"/>
  <c r="R7" i="12"/>
  <c r="R11" i="12"/>
  <c r="BX18" i="12"/>
  <c r="BX22" i="12"/>
  <c r="BX16" i="12"/>
  <c r="BX8" i="12"/>
  <c r="BX12" i="12"/>
  <c r="AU18" i="12"/>
  <c r="AU22" i="12"/>
  <c r="AU16" i="12"/>
  <c r="AU8" i="12"/>
  <c r="AU12" i="12"/>
  <c r="R18" i="12"/>
  <c r="R22" i="12"/>
  <c r="R16" i="12"/>
  <c r="R8" i="12"/>
  <c r="R12" i="12"/>
  <c r="BX19" i="12"/>
  <c r="BX23" i="12"/>
  <c r="BX5" i="12"/>
  <c r="BX9" i="12"/>
  <c r="BX13" i="12"/>
  <c r="AU19" i="12"/>
  <c r="AU23" i="12"/>
  <c r="AU5" i="12"/>
  <c r="AU9" i="12"/>
  <c r="AU13" i="12"/>
  <c r="R19" i="12"/>
  <c r="R23" i="12"/>
  <c r="R5" i="12"/>
  <c r="R9" i="12"/>
  <c r="R13" i="12"/>
  <c r="BT18" i="12"/>
  <c r="BT22" i="12"/>
  <c r="BT19" i="12"/>
  <c r="BT23" i="12"/>
  <c r="BT20" i="12"/>
  <c r="BT24" i="12"/>
  <c r="BT17" i="12"/>
  <c r="BT21" i="12"/>
  <c r="BT25" i="12"/>
  <c r="BT16" i="12"/>
  <c r="BT6" i="12"/>
  <c r="BT10" i="12"/>
  <c r="BT7" i="12"/>
  <c r="BT11" i="12"/>
  <c r="BT8" i="12"/>
  <c r="BT12" i="12"/>
  <c r="BT5" i="12"/>
  <c r="BT9" i="12"/>
  <c r="BT13" i="12"/>
  <c r="AQ4" i="12"/>
  <c r="AQ16" i="12"/>
  <c r="N16" i="12"/>
  <c r="N18" i="12"/>
  <c r="N20" i="12"/>
  <c r="AQ5" i="12"/>
  <c r="N17" i="12"/>
  <c r="AQ17" i="12"/>
  <c r="N19" i="12"/>
  <c r="AQ18" i="12"/>
  <c r="AQ6" i="12"/>
  <c r="N21" i="12"/>
  <c r="AQ19" i="12"/>
  <c r="AQ7" i="12"/>
  <c r="N22" i="12"/>
  <c r="AQ20" i="12"/>
  <c r="AQ8" i="12"/>
  <c r="N23" i="12"/>
  <c r="AQ9" i="12"/>
  <c r="N24" i="12"/>
  <c r="AQ21" i="12"/>
  <c r="AQ22" i="12"/>
  <c r="AQ10" i="12"/>
  <c r="N25" i="12"/>
  <c r="AQ11" i="12"/>
  <c r="AQ23" i="12"/>
  <c r="AQ24" i="12"/>
  <c r="AQ12" i="12"/>
  <c r="AQ13" i="12"/>
  <c r="AQ25" i="12"/>
  <c r="I55" i="2"/>
  <c r="H55" i="2"/>
  <c r="G55" i="2"/>
  <c r="B49" i="1" s="1"/>
  <c r="AZ31" i="1" l="1"/>
  <c r="AY41" i="1"/>
  <c r="AY34" i="1"/>
  <c r="AX48" i="1"/>
  <c r="AX30" i="1"/>
  <c r="AX39" i="1"/>
  <c r="A20" i="12"/>
  <c r="A21" i="12"/>
  <c r="A22" i="12"/>
  <c r="A23" i="12"/>
  <c r="A24" i="12"/>
  <c r="A25" i="12"/>
  <c r="AY48" i="1" l="1"/>
  <c r="AY30" i="1"/>
  <c r="AY39" i="1"/>
  <c r="BA31" i="1"/>
  <c r="AZ41" i="1"/>
  <c r="AZ34" i="1"/>
  <c r="AZ39" i="1" s="1"/>
  <c r="F4" i="1"/>
  <c r="B62" i="1"/>
  <c r="A19" i="12"/>
  <c r="A18" i="12"/>
  <c r="A17" i="12"/>
  <c r="A16" i="12"/>
  <c r="C5" i="8"/>
  <c r="B15" i="8" s="1"/>
  <c r="BB31" i="1" l="1"/>
  <c r="BA34" i="1"/>
  <c r="BA41" i="1"/>
  <c r="AZ48" i="1"/>
  <c r="AZ30" i="1"/>
  <c r="B78" i="1"/>
  <c r="B82" i="1" s="1"/>
  <c r="B79" i="1"/>
  <c r="M4" i="12"/>
  <c r="B12" i="8"/>
  <c r="B13" i="8" s="1"/>
  <c r="BA48" i="1" l="1"/>
  <c r="BA30" i="1"/>
  <c r="BA39" i="1"/>
  <c r="BC31" i="1"/>
  <c r="BB41" i="1"/>
  <c r="BB34" i="1"/>
  <c r="B37" i="2"/>
  <c r="B59" i="1" s="1"/>
  <c r="BD31" i="1" l="1"/>
  <c r="BC41" i="1"/>
  <c r="BC34" i="1"/>
  <c r="BB48" i="1"/>
  <c r="BB30" i="1"/>
  <c r="BB39" i="1"/>
  <c r="B12" i="2"/>
  <c r="D12" i="2"/>
  <c r="C12" i="2"/>
  <c r="B30" i="1"/>
  <c r="B32" i="1" s="1"/>
  <c r="B69" i="1"/>
  <c r="B71" i="1" s="1"/>
  <c r="D4" i="2"/>
  <c r="B4" i="2"/>
  <c r="BC48" i="1" l="1"/>
  <c r="BC30" i="1"/>
  <c r="BC39" i="1"/>
  <c r="BE31" i="1"/>
  <c r="BD41" i="1"/>
  <c r="BD34" i="1"/>
  <c r="BD39" i="1" s="1"/>
  <c r="C36" i="1"/>
  <c r="B72" i="1"/>
  <c r="B36" i="1"/>
  <c r="B39" i="1" s="1"/>
  <c r="D36" i="1"/>
  <c r="D39" i="1" s="1"/>
  <c r="F13" i="12" l="1"/>
  <c r="CI4" i="12"/>
  <c r="BF31" i="1"/>
  <c r="BE34" i="1"/>
  <c r="BE39" i="1" s="1"/>
  <c r="BE41" i="1"/>
  <c r="BD48" i="1"/>
  <c r="BD30" i="1"/>
  <c r="C44" i="1"/>
  <c r="V17" i="12"/>
  <c r="V21" i="12"/>
  <c r="V25" i="12"/>
  <c r="V7" i="12"/>
  <c r="V11" i="12"/>
  <c r="V18" i="12"/>
  <c r="V22" i="12"/>
  <c r="V16" i="12"/>
  <c r="V8" i="12"/>
  <c r="V12" i="12"/>
  <c r="V19" i="12"/>
  <c r="V23" i="12"/>
  <c r="V5" i="12"/>
  <c r="V9" i="12"/>
  <c r="V13" i="12"/>
  <c r="V20" i="12"/>
  <c r="V24" i="12"/>
  <c r="V6" i="12"/>
  <c r="V10" i="12"/>
  <c r="V4" i="12"/>
  <c r="B76" i="1"/>
  <c r="CI18" i="12"/>
  <c r="CI22" i="12"/>
  <c r="CI19" i="12"/>
  <c r="CI23" i="12"/>
  <c r="CI20" i="12"/>
  <c r="CI24" i="12"/>
  <c r="CI17" i="12"/>
  <c r="CI21" i="12"/>
  <c r="CI25" i="12"/>
  <c r="CI7" i="12"/>
  <c r="CI11" i="12"/>
  <c r="CI8" i="12"/>
  <c r="CI12" i="12"/>
  <c r="CI5" i="12"/>
  <c r="CI9" i="12"/>
  <c r="CI13" i="12"/>
  <c r="CI16" i="12"/>
  <c r="CI6" i="12"/>
  <c r="CI10" i="12"/>
  <c r="BF4" i="12"/>
  <c r="BF16" i="12"/>
  <c r="AC20" i="12"/>
  <c r="BF5" i="12"/>
  <c r="AC18" i="12"/>
  <c r="BF17" i="12"/>
  <c r="AC19" i="12"/>
  <c r="AC16" i="12"/>
  <c r="AC17" i="12"/>
  <c r="AC4" i="12"/>
  <c r="BF18" i="12"/>
  <c r="BF6" i="12"/>
  <c r="AC21" i="12"/>
  <c r="BF19" i="12"/>
  <c r="AC22" i="12"/>
  <c r="BF7" i="12"/>
  <c r="AC5" i="12"/>
  <c r="BF20" i="12"/>
  <c r="BF8" i="12"/>
  <c r="AC23" i="12"/>
  <c r="AC6" i="12"/>
  <c r="BF9" i="12"/>
  <c r="AC24" i="12"/>
  <c r="BF21" i="12"/>
  <c r="AC7" i="12"/>
  <c r="AC25" i="12"/>
  <c r="BF22" i="12"/>
  <c r="BF10" i="12"/>
  <c r="AC8" i="12"/>
  <c r="AC9" i="12"/>
  <c r="BF23" i="12"/>
  <c r="BF11" i="12"/>
  <c r="BF24" i="12"/>
  <c r="BF12" i="12"/>
  <c r="AC10" i="12"/>
  <c r="AC11" i="12"/>
  <c r="BF13" i="12"/>
  <c r="BF25" i="12"/>
  <c r="AC12" i="12"/>
  <c r="AC13" i="12"/>
  <c r="C39" i="1"/>
  <c r="BE48" i="1" l="1"/>
  <c r="BE30" i="1"/>
  <c r="BG31" i="1"/>
  <c r="BF41" i="1"/>
  <c r="BF34" i="1"/>
  <c r="B77" i="1"/>
  <c r="C81" i="1" s="1"/>
  <c r="BF48" i="1" l="1"/>
  <c r="BF30" i="1"/>
  <c r="BF39" i="1"/>
  <c r="BH31" i="1"/>
  <c r="BG34" i="1"/>
  <c r="BG39" i="1" s="1"/>
  <c r="BG41" i="1"/>
  <c r="BM5" i="12"/>
  <c r="BM6" i="12"/>
  <c r="BM7" i="12"/>
  <c r="BM8" i="12"/>
  <c r="BM9" i="12"/>
  <c r="BM10" i="12"/>
  <c r="BM11" i="12"/>
  <c r="BM12" i="12"/>
  <c r="BM13" i="12"/>
  <c r="BM16" i="12"/>
  <c r="BM17" i="12"/>
  <c r="BM18" i="12"/>
  <c r="BM19" i="12"/>
  <c r="BM20" i="12"/>
  <c r="BM21" i="12"/>
  <c r="BM22" i="12"/>
  <c r="BM23" i="12"/>
  <c r="BM24" i="12"/>
  <c r="BM25" i="12"/>
  <c r="BI31" i="1" l="1"/>
  <c r="BH41" i="1"/>
  <c r="BH34" i="1"/>
  <c r="BG48" i="1"/>
  <c r="BG30" i="1"/>
  <c r="F4" i="12"/>
  <c r="F5" i="12"/>
  <c r="F6" i="12"/>
  <c r="F7" i="12"/>
  <c r="F8" i="12"/>
  <c r="F9" i="12"/>
  <c r="F10" i="12"/>
  <c r="F11" i="12"/>
  <c r="F12" i="12"/>
  <c r="F16" i="12"/>
  <c r="F17" i="12"/>
  <c r="F18" i="12"/>
  <c r="F19" i="12"/>
  <c r="F20" i="12"/>
  <c r="F21" i="12"/>
  <c r="F22" i="12"/>
  <c r="F23" i="12"/>
  <c r="F24" i="12"/>
  <c r="F25" i="12"/>
  <c r="BH48" i="1" l="1"/>
  <c r="BH30" i="1"/>
  <c r="BH39" i="1"/>
  <c r="BJ31" i="1"/>
  <c r="BI41" i="1"/>
  <c r="BI34" i="1"/>
  <c r="AI4" i="12"/>
  <c r="AI5" i="12"/>
  <c r="AI6" i="12"/>
  <c r="AI7" i="12"/>
  <c r="AI8" i="12"/>
  <c r="AI9" i="12"/>
  <c r="AI10" i="12"/>
  <c r="AI11" i="12"/>
  <c r="AI12" i="12"/>
  <c r="AI13" i="12"/>
  <c r="AI16" i="12"/>
  <c r="AI17" i="12"/>
  <c r="AI18" i="12"/>
  <c r="AI19" i="12"/>
  <c r="AI20" i="12"/>
  <c r="AI21" i="12"/>
  <c r="AI22" i="12"/>
  <c r="AI23" i="12"/>
  <c r="AI24" i="12"/>
  <c r="AI25" i="12"/>
  <c r="BK31" i="1" l="1"/>
  <c r="BJ41" i="1"/>
  <c r="BJ34" i="1"/>
  <c r="BI48" i="1"/>
  <c r="BI30" i="1"/>
  <c r="BI39" i="1"/>
  <c r="BJ48" i="1" l="1"/>
  <c r="BJ30" i="1"/>
  <c r="BJ39" i="1"/>
  <c r="BL31" i="1"/>
  <c r="BK41" i="1"/>
  <c r="BK34" i="1"/>
  <c r="BK39" i="1" s="1"/>
  <c r="BM31" i="1" l="1"/>
  <c r="BL41" i="1"/>
  <c r="BL34" i="1"/>
  <c r="BK48" i="1"/>
  <c r="BK30" i="1"/>
  <c r="BL48" i="1" l="1"/>
  <c r="BL30" i="1"/>
  <c r="BL39" i="1"/>
  <c r="BN31" i="1"/>
  <c r="BM41" i="1"/>
  <c r="BM34" i="1"/>
  <c r="BM39" i="1" s="1"/>
  <c r="BO31" i="1" l="1"/>
  <c r="BN41" i="1"/>
  <c r="BN34" i="1"/>
  <c r="BM48" i="1"/>
  <c r="BM30" i="1"/>
  <c r="BN48" i="1" l="1"/>
  <c r="BN30" i="1"/>
  <c r="BN39" i="1"/>
  <c r="BP31" i="1"/>
  <c r="BO41" i="1"/>
  <c r="BO34" i="1"/>
  <c r="BO39" i="1" s="1"/>
  <c r="BQ31" i="1" l="1"/>
  <c r="BP41" i="1"/>
  <c r="BP34" i="1"/>
  <c r="BO48" i="1"/>
  <c r="BO30" i="1"/>
  <c r="BP48" i="1" l="1"/>
  <c r="BP30" i="1"/>
  <c r="BP39" i="1"/>
  <c r="BR31" i="1"/>
  <c r="BQ34" i="1"/>
  <c r="BQ41" i="1"/>
  <c r="BS31" i="1" l="1"/>
  <c r="BR41" i="1"/>
  <c r="BR34" i="1"/>
  <c r="BQ48" i="1"/>
  <c r="BQ30" i="1"/>
  <c r="BQ39" i="1"/>
  <c r="BR48" i="1" l="1"/>
  <c r="BR30" i="1"/>
  <c r="BR39" i="1"/>
  <c r="BT31" i="1"/>
  <c r="BS41" i="1"/>
  <c r="BS34" i="1"/>
  <c r="BS39" i="1" s="1"/>
  <c r="BU31" i="1" l="1"/>
  <c r="BT41" i="1"/>
  <c r="BT34" i="1"/>
  <c r="BS48" i="1"/>
  <c r="BS30" i="1"/>
  <c r="BT48" i="1" l="1"/>
  <c r="BT30" i="1"/>
  <c r="BT39" i="1"/>
  <c r="BV31" i="1"/>
  <c r="BU34" i="1"/>
  <c r="BU39" i="1" s="1"/>
  <c r="BU41" i="1"/>
  <c r="BW31" i="1" l="1"/>
  <c r="BV41" i="1"/>
  <c r="BV34" i="1"/>
  <c r="BU48" i="1"/>
  <c r="BU30" i="1"/>
  <c r="BV48" i="1" l="1"/>
  <c r="BV30" i="1"/>
  <c r="BV39" i="1"/>
  <c r="BX31" i="1"/>
  <c r="BW34" i="1"/>
  <c r="BW39" i="1" s="1"/>
  <c r="BW41" i="1"/>
  <c r="BY31" i="1" l="1"/>
  <c r="BX41" i="1"/>
  <c r="BX34" i="1"/>
  <c r="BW48" i="1"/>
  <c r="BW30" i="1"/>
  <c r="BX48" i="1" l="1"/>
  <c r="BX30" i="1"/>
  <c r="BX39" i="1"/>
  <c r="BZ31" i="1"/>
  <c r="BY41" i="1"/>
  <c r="BY34" i="1"/>
  <c r="CA31" i="1" l="1"/>
  <c r="BZ41" i="1"/>
  <c r="BZ34" i="1"/>
  <c r="BY48" i="1"/>
  <c r="BY30" i="1"/>
  <c r="BY39" i="1"/>
  <c r="BZ48" i="1" l="1"/>
  <c r="BZ30" i="1"/>
  <c r="BZ39" i="1"/>
  <c r="CB31" i="1"/>
  <c r="CA41" i="1"/>
  <c r="CA34" i="1"/>
  <c r="CA39" i="1" s="1"/>
  <c r="CC31" i="1" l="1"/>
  <c r="CB41" i="1"/>
  <c r="CB34" i="1"/>
  <c r="CA48" i="1"/>
  <c r="CA30" i="1"/>
  <c r="CB48" i="1" l="1"/>
  <c r="CB30" i="1"/>
  <c r="CB39" i="1"/>
  <c r="CD31" i="1"/>
  <c r="CC41" i="1"/>
  <c r="CC34" i="1"/>
  <c r="CE31" i="1" l="1"/>
  <c r="CD41" i="1"/>
  <c r="CD34" i="1"/>
  <c r="CC48" i="1"/>
  <c r="CC30" i="1"/>
  <c r="CC39" i="1"/>
  <c r="CD48" i="1" l="1"/>
  <c r="CD30" i="1"/>
  <c r="CD39" i="1"/>
  <c r="CF31" i="1"/>
  <c r="CE34" i="1"/>
  <c r="CE39" i="1" s="1"/>
  <c r="CE41" i="1"/>
  <c r="CG31" i="1" l="1"/>
  <c r="CF41" i="1"/>
  <c r="CF34" i="1"/>
  <c r="CE48" i="1"/>
  <c r="CE30" i="1"/>
  <c r="CF48" i="1" l="1"/>
  <c r="CF30" i="1"/>
  <c r="CF39" i="1"/>
  <c r="CH31" i="1"/>
  <c r="CG34" i="1"/>
  <c r="CG41" i="1"/>
  <c r="CI31" i="1" l="1"/>
  <c r="CH41" i="1"/>
  <c r="CH34" i="1"/>
  <c r="CG48" i="1"/>
  <c r="CG30" i="1"/>
  <c r="CG39" i="1"/>
  <c r="CH48" i="1" l="1"/>
  <c r="CH30" i="1"/>
  <c r="CH39" i="1"/>
  <c r="CJ31" i="1"/>
  <c r="CI41" i="1"/>
  <c r="CI34" i="1"/>
  <c r="CI39" i="1" s="1"/>
  <c r="CK31" i="1" l="1"/>
  <c r="CJ41" i="1"/>
  <c r="CJ34" i="1"/>
  <c r="CI48" i="1"/>
  <c r="CI30" i="1"/>
  <c r="CJ48" i="1" l="1"/>
  <c r="CJ30" i="1"/>
  <c r="CJ39" i="1"/>
  <c r="CL31" i="1"/>
  <c r="CK34" i="1"/>
  <c r="CK39" i="1" s="1"/>
  <c r="CK41" i="1"/>
  <c r="CM31" i="1" l="1"/>
  <c r="CL41" i="1"/>
  <c r="CL34" i="1"/>
  <c r="CK48" i="1"/>
  <c r="CK30" i="1"/>
  <c r="CL48" i="1" l="1"/>
  <c r="CL30" i="1"/>
  <c r="CL39" i="1"/>
  <c r="CN31" i="1"/>
  <c r="CM41" i="1"/>
  <c r="CM34" i="1"/>
  <c r="CM39" i="1" s="1"/>
  <c r="CO31" i="1" l="1"/>
  <c r="CN41" i="1"/>
  <c r="CN34" i="1"/>
  <c r="CM48" i="1"/>
  <c r="CM30" i="1"/>
  <c r="CN48" i="1" l="1"/>
  <c r="CN30" i="1"/>
  <c r="CN39" i="1"/>
  <c r="CP31" i="1"/>
  <c r="CO34" i="1"/>
  <c r="CO41" i="1"/>
  <c r="CQ31" i="1" l="1"/>
  <c r="CP41" i="1"/>
  <c r="CP34" i="1"/>
  <c r="CO48" i="1"/>
  <c r="CO30" i="1"/>
  <c r="CO39" i="1"/>
  <c r="CP48" i="1" l="1"/>
  <c r="CP30" i="1"/>
  <c r="CP39" i="1"/>
  <c r="CR31" i="1"/>
  <c r="CQ41" i="1"/>
  <c r="CQ34" i="1"/>
  <c r="CQ39" i="1" s="1"/>
  <c r="CS31" i="1" l="1"/>
  <c r="CR41" i="1"/>
  <c r="CR34" i="1"/>
  <c r="CQ48" i="1"/>
  <c r="CQ30" i="1"/>
  <c r="CR48" i="1" l="1"/>
  <c r="CR30" i="1"/>
  <c r="CR39" i="1"/>
  <c r="CT31" i="1"/>
  <c r="CS34" i="1"/>
  <c r="CS39" i="1" s="1"/>
  <c r="CS41" i="1"/>
  <c r="CU31" i="1" l="1"/>
  <c r="CT41" i="1"/>
  <c r="CT34" i="1"/>
  <c r="CS48" i="1"/>
  <c r="CS30" i="1"/>
  <c r="CT48" i="1" l="1"/>
  <c r="CT30" i="1"/>
  <c r="CT39" i="1"/>
  <c r="CV31" i="1"/>
  <c r="CU41" i="1"/>
  <c r="CU34" i="1"/>
  <c r="CU39" i="1" s="1"/>
  <c r="CW31" i="1" l="1"/>
  <c r="CV41" i="1"/>
  <c r="CV34" i="1"/>
  <c r="CU48" i="1"/>
  <c r="CU30" i="1"/>
  <c r="CV48" i="1" l="1"/>
  <c r="CV30" i="1"/>
  <c r="CV39" i="1"/>
  <c r="CX31" i="1"/>
  <c r="CW34" i="1"/>
  <c r="CW41" i="1"/>
  <c r="CY31" i="1" l="1"/>
  <c r="CX41" i="1"/>
  <c r="CX34" i="1"/>
  <c r="CW48" i="1"/>
  <c r="CW30" i="1"/>
  <c r="CW39" i="1"/>
  <c r="CX48" i="1" l="1"/>
  <c r="CX30" i="1"/>
  <c r="CX39" i="1"/>
  <c r="CZ31" i="1"/>
  <c r="CY41" i="1"/>
  <c r="CY34" i="1"/>
  <c r="CY39" i="1" s="1"/>
  <c r="DA31" i="1" l="1"/>
  <c r="CZ41" i="1"/>
  <c r="CZ34" i="1"/>
  <c r="CY48" i="1"/>
  <c r="CY30" i="1"/>
  <c r="CZ48" i="1" l="1"/>
  <c r="CZ30" i="1"/>
  <c r="CZ39" i="1"/>
  <c r="DB31" i="1"/>
  <c r="DA34" i="1"/>
  <c r="DA39" i="1" s="1"/>
  <c r="DA41" i="1"/>
  <c r="DC31" i="1" l="1"/>
  <c r="DB41" i="1"/>
  <c r="DB34" i="1"/>
  <c r="DB39" i="1" s="1"/>
  <c r="DA48" i="1"/>
  <c r="DA30" i="1"/>
  <c r="DB48" i="1" l="1"/>
  <c r="DB30" i="1"/>
  <c r="DD31" i="1"/>
  <c r="DC41" i="1"/>
  <c r="DC34" i="1"/>
  <c r="DC39" i="1" s="1"/>
  <c r="DE31" i="1" l="1"/>
  <c r="DD41" i="1"/>
  <c r="DD34" i="1"/>
  <c r="DC48" i="1"/>
  <c r="DC30" i="1"/>
  <c r="DD48" i="1" l="1"/>
  <c r="DD30" i="1"/>
  <c r="DD39" i="1"/>
  <c r="DF31" i="1"/>
  <c r="DE34" i="1"/>
  <c r="DE41" i="1"/>
  <c r="DG31" i="1" l="1"/>
  <c r="DF41" i="1"/>
  <c r="DF34" i="1"/>
  <c r="DE48" i="1"/>
  <c r="DE30" i="1"/>
  <c r="DE39" i="1"/>
  <c r="DF48" i="1" l="1"/>
  <c r="DF30" i="1"/>
  <c r="DF39" i="1"/>
  <c r="DH31" i="1"/>
  <c r="DG41" i="1"/>
  <c r="DG34" i="1"/>
  <c r="DG39" i="1" s="1"/>
  <c r="DI31" i="1" l="1"/>
  <c r="DH41" i="1"/>
  <c r="DH34" i="1"/>
  <c r="DG48" i="1"/>
  <c r="DG30" i="1"/>
  <c r="DH48" i="1" l="1"/>
  <c r="DH30" i="1"/>
  <c r="DH39" i="1"/>
  <c r="DJ31" i="1"/>
  <c r="DI34" i="1"/>
  <c r="DI39" i="1" s="1"/>
  <c r="DI41" i="1"/>
  <c r="DK31" i="1" l="1"/>
  <c r="DJ41" i="1"/>
  <c r="DJ34" i="1"/>
  <c r="DJ39" i="1" s="1"/>
  <c r="DI48" i="1"/>
  <c r="DI30" i="1"/>
  <c r="DJ48" i="1" l="1"/>
  <c r="DJ30" i="1"/>
  <c r="DL31" i="1"/>
  <c r="DK41" i="1"/>
  <c r="DK34" i="1"/>
  <c r="DK39" i="1" s="1"/>
  <c r="DM31" i="1" l="1"/>
  <c r="DL41" i="1"/>
  <c r="DL34" i="1"/>
  <c r="DK48" i="1"/>
  <c r="DK30" i="1"/>
  <c r="DL48" i="1" l="1"/>
  <c r="DL30" i="1"/>
  <c r="DL39" i="1"/>
  <c r="DN31" i="1"/>
  <c r="DM34" i="1"/>
  <c r="DM39" i="1" s="1"/>
  <c r="DM41" i="1"/>
  <c r="DO31" i="1" l="1"/>
  <c r="DN41" i="1"/>
  <c r="DN34" i="1"/>
  <c r="DN39" i="1" s="1"/>
  <c r="DM48" i="1"/>
  <c r="DM30" i="1"/>
  <c r="DN48" i="1" l="1"/>
  <c r="DN30" i="1"/>
  <c r="DP31" i="1"/>
  <c r="DO41" i="1"/>
  <c r="DO34" i="1"/>
  <c r="DO39" i="1" s="1"/>
  <c r="DQ31" i="1" l="1"/>
  <c r="DP41" i="1"/>
  <c r="DP34" i="1"/>
  <c r="DO48" i="1"/>
  <c r="DO30" i="1"/>
  <c r="DP48" i="1" l="1"/>
  <c r="DP30" i="1"/>
  <c r="DP39" i="1"/>
  <c r="DR31" i="1"/>
  <c r="DQ34" i="1"/>
  <c r="DQ41" i="1"/>
  <c r="DS31" i="1" l="1"/>
  <c r="DR41" i="1"/>
  <c r="DR34" i="1"/>
  <c r="DR39" i="1" s="1"/>
  <c r="DQ48" i="1"/>
  <c r="DQ30" i="1"/>
  <c r="DQ39" i="1"/>
  <c r="DR48" i="1" l="1"/>
  <c r="DR30" i="1"/>
  <c r="DT31" i="1"/>
  <c r="DS41" i="1"/>
  <c r="DS34" i="1"/>
  <c r="DU31" i="1" l="1"/>
  <c r="DT41" i="1"/>
  <c r="DT34" i="1"/>
  <c r="DS48" i="1"/>
  <c r="DS30" i="1"/>
  <c r="DS39" i="1"/>
  <c r="DT48" i="1" l="1"/>
  <c r="DT30" i="1"/>
  <c r="DT39" i="1"/>
  <c r="DV31" i="1"/>
  <c r="DU34" i="1"/>
  <c r="DU39" i="1" s="1"/>
  <c r="DU41" i="1"/>
  <c r="DW31" i="1" l="1"/>
  <c r="DV41" i="1"/>
  <c r="DV34" i="1"/>
  <c r="DU48" i="1"/>
  <c r="DU30" i="1"/>
  <c r="DV48" i="1" l="1"/>
  <c r="DV30" i="1"/>
  <c r="DV39" i="1"/>
  <c r="DX31" i="1"/>
  <c r="DW41" i="1"/>
  <c r="DW34" i="1"/>
  <c r="DW39" i="1" s="1"/>
  <c r="DY31" i="1" l="1"/>
  <c r="DX41" i="1"/>
  <c r="DX34" i="1"/>
  <c r="DW48" i="1"/>
  <c r="DW30" i="1"/>
  <c r="DX48" i="1" l="1"/>
  <c r="DX30" i="1"/>
  <c r="DX39" i="1"/>
  <c r="DZ31" i="1"/>
  <c r="DY34" i="1"/>
  <c r="DY39" i="1" s="1"/>
  <c r="DY41" i="1"/>
  <c r="EA31" i="1" l="1"/>
  <c r="DZ41" i="1"/>
  <c r="DZ34" i="1"/>
  <c r="DZ39" i="1" s="1"/>
  <c r="DY48" i="1"/>
  <c r="DY30" i="1"/>
  <c r="DZ48" i="1" l="1"/>
  <c r="DZ30" i="1"/>
  <c r="EB31" i="1"/>
  <c r="EA41" i="1"/>
  <c r="EA34" i="1"/>
  <c r="EA39" i="1" s="1"/>
  <c r="EC31" i="1" l="1"/>
  <c r="EB41" i="1"/>
  <c r="EB34" i="1"/>
  <c r="EA48" i="1"/>
  <c r="EA30" i="1"/>
  <c r="EB48" i="1" l="1"/>
  <c r="EB30" i="1"/>
  <c r="EB39" i="1"/>
  <c r="ED31" i="1"/>
  <c r="EC34" i="1"/>
  <c r="EC39" i="1" s="1"/>
  <c r="EC41" i="1"/>
  <c r="EE31" i="1" l="1"/>
  <c r="ED41" i="1"/>
  <c r="ED34" i="1"/>
  <c r="ED39" i="1" s="1"/>
  <c r="EC48" i="1"/>
  <c r="EC30" i="1"/>
  <c r="ED48" i="1" l="1"/>
  <c r="ED30" i="1"/>
  <c r="EF31" i="1"/>
  <c r="EE41" i="1"/>
  <c r="EE34" i="1"/>
  <c r="EE39" i="1" s="1"/>
  <c r="EG31" i="1" l="1"/>
  <c r="EF41" i="1"/>
  <c r="EF34" i="1"/>
  <c r="EE48" i="1"/>
  <c r="EE30" i="1"/>
  <c r="EF48" i="1" l="1"/>
  <c r="EF30" i="1"/>
  <c r="EF39" i="1"/>
  <c r="EH31" i="1"/>
  <c r="EG34" i="1"/>
  <c r="EG41" i="1"/>
  <c r="EI31" i="1" l="1"/>
  <c r="EH41" i="1"/>
  <c r="EH34" i="1"/>
  <c r="EG48" i="1"/>
  <c r="EG30" i="1"/>
  <c r="EG39" i="1"/>
  <c r="EH48" i="1" l="1"/>
  <c r="EH30" i="1"/>
  <c r="EH39" i="1"/>
  <c r="EJ31" i="1"/>
  <c r="EI41" i="1"/>
  <c r="EI34" i="1"/>
  <c r="EI39" i="1" s="1"/>
  <c r="EK31" i="1" l="1"/>
  <c r="EJ41" i="1"/>
  <c r="EJ34" i="1"/>
  <c r="EI48" i="1"/>
  <c r="EI30" i="1"/>
  <c r="EJ48" i="1" l="1"/>
  <c r="EJ30" i="1"/>
  <c r="EJ39" i="1"/>
  <c r="EL31" i="1"/>
  <c r="EK34" i="1"/>
  <c r="EK39" i="1" s="1"/>
  <c r="EK41" i="1"/>
  <c r="EM31" i="1" l="1"/>
  <c r="EL41" i="1"/>
  <c r="EL34" i="1"/>
  <c r="EK48" i="1"/>
  <c r="EK30" i="1"/>
  <c r="EL48" i="1" l="1"/>
  <c r="EL30" i="1"/>
  <c r="EL39" i="1"/>
  <c r="EN31" i="1"/>
  <c r="EM41" i="1"/>
  <c r="EM34" i="1"/>
  <c r="EM39" i="1" s="1"/>
  <c r="EO31" i="1" l="1"/>
  <c r="EN41" i="1"/>
  <c r="EN34" i="1"/>
  <c r="EM48" i="1"/>
  <c r="EM30" i="1"/>
  <c r="EN48" i="1" l="1"/>
  <c r="EN30" i="1"/>
  <c r="EN39" i="1"/>
  <c r="EP31" i="1"/>
  <c r="EO34" i="1"/>
  <c r="EO39" i="1" s="1"/>
  <c r="EO41" i="1"/>
  <c r="EQ31" i="1" l="1"/>
  <c r="EP41" i="1"/>
  <c r="EP34" i="1"/>
  <c r="EP39" i="1" s="1"/>
  <c r="EO48" i="1"/>
  <c r="EO30" i="1"/>
  <c r="EP48" i="1" l="1"/>
  <c r="EP30" i="1"/>
  <c r="ER31" i="1"/>
  <c r="EQ41" i="1"/>
  <c r="EQ34" i="1"/>
  <c r="EQ39" i="1" s="1"/>
  <c r="ES31" i="1" l="1"/>
  <c r="ER41" i="1"/>
  <c r="ER34" i="1"/>
  <c r="EQ48" i="1"/>
  <c r="EQ30" i="1"/>
  <c r="ER48" i="1" l="1"/>
  <c r="ER30" i="1"/>
  <c r="ER39" i="1"/>
  <c r="ET31" i="1"/>
  <c r="ES34" i="1"/>
  <c r="ES39" i="1" s="1"/>
  <c r="ES41" i="1"/>
  <c r="EU31" i="1" l="1"/>
  <c r="ET41" i="1"/>
  <c r="ET34" i="1"/>
  <c r="ET39" i="1" s="1"/>
  <c r="ES48" i="1"/>
  <c r="ES30" i="1"/>
  <c r="ET48" i="1" l="1"/>
  <c r="ET30" i="1"/>
  <c r="EV31" i="1"/>
  <c r="EU41" i="1"/>
  <c r="EU34" i="1"/>
  <c r="EU39" i="1" s="1"/>
  <c r="EW31" i="1" l="1"/>
  <c r="EV41" i="1"/>
  <c r="EV34" i="1"/>
  <c r="EV39" i="1" s="1"/>
  <c r="EU48" i="1"/>
  <c r="EU30" i="1"/>
  <c r="EV48" i="1" l="1"/>
  <c r="EV30" i="1"/>
  <c r="EX31" i="1"/>
  <c r="EW34" i="1"/>
  <c r="EW39" i="1" s="1"/>
  <c r="EW41" i="1"/>
  <c r="EY31" i="1" l="1"/>
  <c r="EX41" i="1"/>
  <c r="EX34" i="1"/>
  <c r="EW48" i="1"/>
  <c r="EW30" i="1"/>
  <c r="EX48" i="1" l="1"/>
  <c r="EX30" i="1"/>
  <c r="EX39" i="1"/>
  <c r="EZ31" i="1"/>
  <c r="EY41" i="1"/>
  <c r="EY34" i="1"/>
  <c r="EY39" i="1" s="1"/>
  <c r="FA31" i="1" l="1"/>
  <c r="EZ41" i="1"/>
  <c r="EZ34" i="1"/>
  <c r="EY48" i="1"/>
  <c r="EY30" i="1"/>
  <c r="EZ48" i="1" l="1"/>
  <c r="EZ30" i="1"/>
  <c r="EZ39" i="1"/>
  <c r="FB31" i="1"/>
  <c r="FA34" i="1"/>
  <c r="FA39" i="1" s="1"/>
  <c r="FA41" i="1"/>
  <c r="FC31" i="1" l="1"/>
  <c r="FB41" i="1"/>
  <c r="FB34" i="1"/>
  <c r="FA48" i="1"/>
  <c r="FA30" i="1"/>
  <c r="FB48" i="1" l="1"/>
  <c r="FB30" i="1"/>
  <c r="FB39" i="1"/>
  <c r="FD31" i="1"/>
  <c r="FC41" i="1"/>
  <c r="FC34" i="1"/>
  <c r="FC39" i="1" s="1"/>
  <c r="FE31" i="1" l="1"/>
  <c r="FD41" i="1"/>
  <c r="FD34" i="1"/>
  <c r="FC48" i="1"/>
  <c r="FC30" i="1"/>
  <c r="FD48" i="1" l="1"/>
  <c r="FD30" i="1"/>
  <c r="FD39" i="1"/>
  <c r="FE34" i="1"/>
  <c r="FE39" i="1" s="1"/>
  <c r="FE41" i="1"/>
  <c r="FE48" i="1" l="1"/>
  <c r="FE30" i="1"/>
  <c r="U30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DC33" i="1"/>
  <c r="DD33" i="1"/>
  <c r="DE33" i="1"/>
  <c r="DF33" i="1"/>
  <c r="DG33" i="1"/>
  <c r="DH33" i="1"/>
  <c r="DI33" i="1"/>
  <c r="DJ33" i="1"/>
  <c r="DK33" i="1"/>
  <c r="DL33" i="1"/>
  <c r="DM33" i="1"/>
  <c r="DN33" i="1"/>
  <c r="DO33" i="1"/>
  <c r="DP33" i="1"/>
  <c r="DQ33" i="1"/>
  <c r="DR33" i="1"/>
  <c r="DS33" i="1"/>
  <c r="DT33" i="1"/>
  <c r="DU33" i="1"/>
  <c r="DV33" i="1"/>
  <c r="DW33" i="1"/>
  <c r="DX33" i="1"/>
  <c r="DY33" i="1"/>
  <c r="DZ33" i="1"/>
  <c r="EA33" i="1"/>
  <c r="EB33" i="1"/>
  <c r="EC33" i="1"/>
  <c r="ED33" i="1"/>
  <c r="EE33" i="1"/>
  <c r="EF33" i="1"/>
  <c r="EG33" i="1"/>
  <c r="EH33" i="1"/>
  <c r="EI33" i="1"/>
  <c r="EJ33" i="1"/>
  <c r="EK33" i="1"/>
  <c r="EL33" i="1"/>
  <c r="EM33" i="1"/>
  <c r="EN33" i="1"/>
  <c r="EO33" i="1"/>
  <c r="EP33" i="1"/>
  <c r="EQ33" i="1"/>
  <c r="ER33" i="1"/>
  <c r="ES33" i="1"/>
  <c r="ET33" i="1"/>
  <c r="EU33" i="1"/>
  <c r="EV33" i="1"/>
  <c r="EW33" i="1"/>
  <c r="EX33" i="1"/>
  <c r="EY33" i="1"/>
  <c r="EZ33" i="1"/>
  <c r="FA33" i="1"/>
  <c r="FB33" i="1"/>
  <c r="FC33" i="1"/>
  <c r="FD33" i="1"/>
  <c r="FE33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DF36" i="1"/>
  <c r="DG36" i="1"/>
  <c r="DH36" i="1"/>
  <c r="DI36" i="1"/>
  <c r="DJ36" i="1"/>
  <c r="DK36" i="1"/>
  <c r="DL36" i="1"/>
  <c r="DM36" i="1"/>
  <c r="DN36" i="1"/>
  <c r="DO36" i="1"/>
  <c r="DP36" i="1"/>
  <c r="DQ36" i="1"/>
  <c r="DR36" i="1"/>
  <c r="DS36" i="1"/>
  <c r="DT36" i="1"/>
  <c r="DU36" i="1"/>
  <c r="DV36" i="1"/>
  <c r="DW36" i="1"/>
  <c r="DX36" i="1"/>
  <c r="DY36" i="1"/>
  <c r="DZ36" i="1"/>
  <c r="EA36" i="1"/>
  <c r="EB36" i="1"/>
  <c r="EC36" i="1"/>
  <c r="ED36" i="1"/>
  <c r="EE36" i="1"/>
  <c r="EF36" i="1"/>
  <c r="EG36" i="1"/>
  <c r="EH36" i="1"/>
  <c r="EI36" i="1"/>
  <c r="EJ36" i="1"/>
  <c r="EK36" i="1"/>
  <c r="EL36" i="1"/>
  <c r="EM36" i="1"/>
  <c r="EN36" i="1"/>
  <c r="EO36" i="1"/>
  <c r="EP36" i="1"/>
  <c r="EQ36" i="1"/>
  <c r="ER36" i="1"/>
  <c r="ES36" i="1"/>
  <c r="ET36" i="1"/>
  <c r="EU36" i="1"/>
  <c r="EV36" i="1"/>
  <c r="EW36" i="1"/>
  <c r="EX36" i="1"/>
  <c r="EY36" i="1"/>
  <c r="EZ36" i="1"/>
  <c r="FA36" i="1"/>
  <c r="FB36" i="1"/>
  <c r="FC36" i="1"/>
  <c r="FD36" i="1"/>
  <c r="FE36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DK37" i="1"/>
  <c r="DL37" i="1"/>
  <c r="DM37" i="1"/>
  <c r="DN37" i="1"/>
  <c r="DO37" i="1"/>
  <c r="DP37" i="1"/>
  <c r="DQ37" i="1"/>
  <c r="DR37" i="1"/>
  <c r="DS37" i="1"/>
  <c r="DT37" i="1"/>
  <c r="DU37" i="1"/>
  <c r="DV37" i="1"/>
  <c r="DW37" i="1"/>
  <c r="DX37" i="1"/>
  <c r="DY37" i="1"/>
  <c r="DZ37" i="1"/>
  <c r="EA37" i="1"/>
  <c r="EB37" i="1"/>
  <c r="EC37" i="1"/>
  <c r="ED37" i="1"/>
  <c r="EE37" i="1"/>
  <c r="EF37" i="1"/>
  <c r="EG37" i="1"/>
  <c r="EH37" i="1"/>
  <c r="EI37" i="1"/>
  <c r="EJ37" i="1"/>
  <c r="EK37" i="1"/>
  <c r="EL37" i="1"/>
  <c r="EM37" i="1"/>
  <c r="EN37" i="1"/>
  <c r="EO37" i="1"/>
  <c r="EP37" i="1"/>
  <c r="EQ37" i="1"/>
  <c r="ER37" i="1"/>
  <c r="ES37" i="1"/>
  <c r="ET37" i="1"/>
  <c r="EU37" i="1"/>
  <c r="EV37" i="1"/>
  <c r="EW37" i="1"/>
  <c r="EX37" i="1"/>
  <c r="EY37" i="1"/>
  <c r="EZ37" i="1"/>
  <c r="FA37" i="1"/>
  <c r="FB37" i="1"/>
  <c r="FC37" i="1"/>
  <c r="FD37" i="1"/>
  <c r="FE37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DP40" i="1"/>
  <c r="DQ40" i="1"/>
  <c r="DR40" i="1"/>
  <c r="DS40" i="1"/>
  <c r="DT40" i="1"/>
  <c r="DU40" i="1"/>
  <c r="DV40" i="1"/>
  <c r="DW40" i="1"/>
  <c r="DX40" i="1"/>
  <c r="DY40" i="1"/>
  <c r="DZ40" i="1"/>
  <c r="EA40" i="1"/>
  <c r="EB40" i="1"/>
  <c r="EC40" i="1"/>
  <c r="ED40" i="1"/>
  <c r="EE40" i="1"/>
  <c r="EF40" i="1"/>
  <c r="EG40" i="1"/>
  <c r="EH40" i="1"/>
  <c r="EI40" i="1"/>
  <c r="EJ40" i="1"/>
  <c r="EK40" i="1"/>
  <c r="EL40" i="1"/>
  <c r="EM40" i="1"/>
  <c r="EN40" i="1"/>
  <c r="EO40" i="1"/>
  <c r="EP40" i="1"/>
  <c r="EQ40" i="1"/>
  <c r="ER40" i="1"/>
  <c r="ES40" i="1"/>
  <c r="ET40" i="1"/>
  <c r="EU40" i="1"/>
  <c r="EV40" i="1"/>
  <c r="EW40" i="1"/>
  <c r="EX40" i="1"/>
  <c r="EY40" i="1"/>
  <c r="EZ40" i="1"/>
  <c r="FA40" i="1"/>
  <c r="FB40" i="1"/>
  <c r="FC40" i="1"/>
  <c r="FD40" i="1"/>
  <c r="FE40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C42" i="1"/>
  <c r="DD42" i="1"/>
  <c r="DE42" i="1"/>
  <c r="DF42" i="1"/>
  <c r="DG42" i="1"/>
  <c r="DH42" i="1"/>
  <c r="DI42" i="1"/>
  <c r="DJ42" i="1"/>
  <c r="DK42" i="1"/>
  <c r="DL42" i="1"/>
  <c r="DM42" i="1"/>
  <c r="DN42" i="1"/>
  <c r="DO42" i="1"/>
  <c r="DP42" i="1"/>
  <c r="DQ42" i="1"/>
  <c r="DR42" i="1"/>
  <c r="DS42" i="1"/>
  <c r="DT42" i="1"/>
  <c r="DU42" i="1"/>
  <c r="DV42" i="1"/>
  <c r="DW42" i="1"/>
  <c r="DX42" i="1"/>
  <c r="DY42" i="1"/>
  <c r="DZ42" i="1"/>
  <c r="EA42" i="1"/>
  <c r="EB42" i="1"/>
  <c r="EC42" i="1"/>
  <c r="ED42" i="1"/>
  <c r="EE42" i="1"/>
  <c r="EF42" i="1"/>
  <c r="EG42" i="1"/>
  <c r="EH42" i="1"/>
  <c r="EI42" i="1"/>
  <c r="EJ42" i="1"/>
  <c r="EK42" i="1"/>
  <c r="EL42" i="1"/>
  <c r="EM42" i="1"/>
  <c r="EN42" i="1"/>
  <c r="EO42" i="1"/>
  <c r="EP42" i="1"/>
  <c r="EQ42" i="1"/>
  <c r="ER42" i="1"/>
  <c r="ES42" i="1"/>
  <c r="ET42" i="1"/>
  <c r="EU42" i="1"/>
  <c r="EV42" i="1"/>
  <c r="EW42" i="1"/>
  <c r="EX42" i="1"/>
  <c r="EY42" i="1"/>
  <c r="EZ42" i="1"/>
  <c r="FA42" i="1"/>
  <c r="FB42" i="1"/>
  <c r="FC42" i="1"/>
  <c r="FD42" i="1"/>
  <c r="FE42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DB43" i="1"/>
  <c r="DC43" i="1"/>
  <c r="DD43" i="1"/>
  <c r="DE43" i="1"/>
  <c r="DF43" i="1"/>
  <c r="DG43" i="1"/>
  <c r="DH43" i="1"/>
  <c r="DI43" i="1"/>
  <c r="DJ43" i="1"/>
  <c r="DK43" i="1"/>
  <c r="DL43" i="1"/>
  <c r="DM43" i="1"/>
  <c r="DN43" i="1"/>
  <c r="DO43" i="1"/>
  <c r="DP43" i="1"/>
  <c r="DQ43" i="1"/>
  <c r="DR43" i="1"/>
  <c r="DS43" i="1"/>
  <c r="DT43" i="1"/>
  <c r="DU43" i="1"/>
  <c r="DV43" i="1"/>
  <c r="DW43" i="1"/>
  <c r="DX43" i="1"/>
  <c r="DY43" i="1"/>
  <c r="DZ43" i="1"/>
  <c r="EA43" i="1"/>
  <c r="EB43" i="1"/>
  <c r="EC43" i="1"/>
  <c r="ED43" i="1"/>
  <c r="EE43" i="1"/>
  <c r="EF43" i="1"/>
  <c r="EG43" i="1"/>
  <c r="EH43" i="1"/>
  <c r="EI43" i="1"/>
  <c r="EJ43" i="1"/>
  <c r="EK43" i="1"/>
  <c r="EL43" i="1"/>
  <c r="EM43" i="1"/>
  <c r="EN43" i="1"/>
  <c r="EO43" i="1"/>
  <c r="EP43" i="1"/>
  <c r="EQ43" i="1"/>
  <c r="ER43" i="1"/>
  <c r="ES43" i="1"/>
  <c r="ET43" i="1"/>
  <c r="EU43" i="1"/>
  <c r="EV43" i="1"/>
  <c r="EW43" i="1"/>
  <c r="EX43" i="1"/>
  <c r="EY43" i="1"/>
  <c r="EZ43" i="1"/>
  <c r="FA43" i="1"/>
  <c r="FB43" i="1"/>
  <c r="FC43" i="1"/>
  <c r="FD43" i="1"/>
  <c r="FE43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R44" i="1"/>
  <c r="DS44" i="1"/>
  <c r="DT44" i="1"/>
  <c r="DU44" i="1"/>
  <c r="DV44" i="1"/>
  <c r="DW44" i="1"/>
  <c r="DX44" i="1"/>
  <c r="DY44" i="1"/>
  <c r="DZ44" i="1"/>
  <c r="EA44" i="1"/>
  <c r="EB44" i="1"/>
  <c r="EC44" i="1"/>
  <c r="ED44" i="1"/>
  <c r="EE44" i="1"/>
  <c r="EF44" i="1"/>
  <c r="EG44" i="1"/>
  <c r="EH44" i="1"/>
  <c r="EI44" i="1"/>
  <c r="EJ44" i="1"/>
  <c r="EK44" i="1"/>
  <c r="EL44" i="1"/>
  <c r="EM44" i="1"/>
  <c r="EN44" i="1"/>
  <c r="EO44" i="1"/>
  <c r="EP44" i="1"/>
  <c r="EQ44" i="1"/>
  <c r="ER44" i="1"/>
  <c r="ES44" i="1"/>
  <c r="ET44" i="1"/>
  <c r="EU44" i="1"/>
  <c r="EV44" i="1"/>
  <c r="EW44" i="1"/>
  <c r="EX44" i="1"/>
  <c r="EY44" i="1"/>
  <c r="EZ44" i="1"/>
  <c r="FA44" i="1"/>
  <c r="FB44" i="1"/>
  <c r="FC44" i="1"/>
  <c r="FD44" i="1"/>
  <c r="FE44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C45" i="1"/>
  <c r="DD45" i="1"/>
  <c r="DE45" i="1"/>
  <c r="DF45" i="1"/>
  <c r="DG45" i="1"/>
  <c r="DH45" i="1"/>
  <c r="DI45" i="1"/>
  <c r="DJ45" i="1"/>
  <c r="DK45" i="1"/>
  <c r="DL45" i="1"/>
  <c r="DM45" i="1"/>
  <c r="DN45" i="1"/>
  <c r="DO45" i="1"/>
  <c r="DP45" i="1"/>
  <c r="DQ45" i="1"/>
  <c r="DR45" i="1"/>
  <c r="DS45" i="1"/>
  <c r="DT45" i="1"/>
  <c r="DU45" i="1"/>
  <c r="DV45" i="1"/>
  <c r="DW45" i="1"/>
  <c r="DX45" i="1"/>
  <c r="DY45" i="1"/>
  <c r="DZ45" i="1"/>
  <c r="EA45" i="1"/>
  <c r="EB45" i="1"/>
  <c r="EC45" i="1"/>
  <c r="ED45" i="1"/>
  <c r="EE45" i="1"/>
  <c r="EF45" i="1"/>
  <c r="EG45" i="1"/>
  <c r="EH45" i="1"/>
  <c r="EI45" i="1"/>
  <c r="EJ45" i="1"/>
  <c r="EK45" i="1"/>
  <c r="EL45" i="1"/>
  <c r="EM45" i="1"/>
  <c r="EN45" i="1"/>
  <c r="EO45" i="1"/>
  <c r="EP45" i="1"/>
  <c r="EQ45" i="1"/>
  <c r="ER45" i="1"/>
  <c r="ES45" i="1"/>
  <c r="ET45" i="1"/>
  <c r="EU45" i="1"/>
  <c r="EV45" i="1"/>
  <c r="EW45" i="1"/>
  <c r="EX45" i="1"/>
  <c r="EY45" i="1"/>
  <c r="EZ45" i="1"/>
  <c r="FA45" i="1"/>
  <c r="FB45" i="1"/>
  <c r="FC45" i="1"/>
  <c r="FD45" i="1"/>
  <c r="FE45" i="1"/>
  <c r="C4" i="12"/>
  <c r="D4" i="12"/>
  <c r="G4" i="12"/>
  <c r="H4" i="12"/>
  <c r="I4" i="12"/>
  <c r="J4" i="12"/>
  <c r="K4" i="12"/>
  <c r="L4" i="12"/>
  <c r="O4" i="12"/>
  <c r="P4" i="12"/>
  <c r="Q4" i="12"/>
  <c r="S4" i="12"/>
  <c r="T4" i="12"/>
  <c r="U4" i="12"/>
  <c r="W4" i="12"/>
  <c r="Y4" i="12"/>
  <c r="Z4" i="12"/>
  <c r="AA4" i="12"/>
  <c r="AB4" i="12"/>
  <c r="AD4" i="12"/>
  <c r="AF4" i="12"/>
  <c r="AG4" i="12"/>
  <c r="AJ4" i="12"/>
  <c r="AK4" i="12"/>
  <c r="AL4" i="12"/>
  <c r="AM4" i="12"/>
  <c r="AN4" i="12"/>
  <c r="AO4" i="12"/>
  <c r="AR4" i="12"/>
  <c r="AS4" i="12"/>
  <c r="AT4" i="12"/>
  <c r="AV4" i="12"/>
  <c r="AW4" i="12"/>
  <c r="AX4" i="12"/>
  <c r="AZ4" i="12"/>
  <c r="BB4" i="12"/>
  <c r="BC4" i="12"/>
  <c r="BD4" i="12"/>
  <c r="BE4" i="12"/>
  <c r="BG4" i="12"/>
  <c r="BI4" i="12"/>
  <c r="BJ4" i="12"/>
  <c r="BL4" i="12"/>
  <c r="BN4" i="12"/>
  <c r="BO4" i="12"/>
  <c r="BP4" i="12"/>
  <c r="BQ4" i="12"/>
  <c r="BR4" i="12"/>
  <c r="BU4" i="12"/>
  <c r="BV4" i="12"/>
  <c r="BW4" i="12"/>
  <c r="BY4" i="12"/>
  <c r="BZ4" i="12"/>
  <c r="CA4" i="12"/>
  <c r="CC4" i="12"/>
  <c r="CE4" i="12"/>
  <c r="CF4" i="12"/>
  <c r="CG4" i="12"/>
  <c r="CH4" i="12"/>
  <c r="CJ4" i="12"/>
  <c r="C5" i="12"/>
  <c r="D5" i="12"/>
  <c r="G5" i="12"/>
  <c r="H5" i="12"/>
  <c r="I5" i="12"/>
  <c r="J5" i="12"/>
  <c r="K5" i="12"/>
  <c r="L5" i="12"/>
  <c r="O5" i="12"/>
  <c r="P5" i="12"/>
  <c r="Q5" i="12"/>
  <c r="S5" i="12"/>
  <c r="T5" i="12"/>
  <c r="U5" i="12"/>
  <c r="W5" i="12"/>
  <c r="Y5" i="12"/>
  <c r="Z5" i="12"/>
  <c r="AA5" i="12"/>
  <c r="AB5" i="12"/>
  <c r="AD5" i="12"/>
  <c r="AF5" i="12"/>
  <c r="AG5" i="12"/>
  <c r="AJ5" i="12"/>
  <c r="AK5" i="12"/>
  <c r="AL5" i="12"/>
  <c r="AM5" i="12"/>
  <c r="AN5" i="12"/>
  <c r="AO5" i="12"/>
  <c r="AR5" i="12"/>
  <c r="AS5" i="12"/>
  <c r="AT5" i="12"/>
  <c r="AV5" i="12"/>
  <c r="AW5" i="12"/>
  <c r="AX5" i="12"/>
  <c r="AZ5" i="12"/>
  <c r="BB5" i="12"/>
  <c r="BC5" i="12"/>
  <c r="BD5" i="12"/>
  <c r="BE5" i="12"/>
  <c r="BG5" i="12"/>
  <c r="BI5" i="12"/>
  <c r="BJ5" i="12"/>
  <c r="BL5" i="12"/>
  <c r="BN5" i="12"/>
  <c r="BO5" i="12"/>
  <c r="BP5" i="12"/>
  <c r="BQ5" i="12"/>
  <c r="BR5" i="12"/>
  <c r="BU5" i="12"/>
  <c r="BV5" i="12"/>
  <c r="BW5" i="12"/>
  <c r="BY5" i="12"/>
  <c r="BZ5" i="12"/>
  <c r="CA5" i="12"/>
  <c r="CC5" i="12"/>
  <c r="CE5" i="12"/>
  <c r="CF5" i="12"/>
  <c r="CG5" i="12"/>
  <c r="CH5" i="12"/>
  <c r="CJ5" i="12"/>
  <c r="C6" i="12"/>
  <c r="D6" i="12"/>
  <c r="G6" i="12"/>
  <c r="H6" i="12"/>
  <c r="I6" i="12"/>
  <c r="J6" i="12"/>
  <c r="K6" i="12"/>
  <c r="L6" i="12"/>
  <c r="O6" i="12"/>
  <c r="P6" i="12"/>
  <c r="Q6" i="12"/>
  <c r="S6" i="12"/>
  <c r="T6" i="12"/>
  <c r="U6" i="12"/>
  <c r="W6" i="12"/>
  <c r="Y6" i="12"/>
  <c r="Z6" i="12"/>
  <c r="AA6" i="12"/>
  <c r="AB6" i="12"/>
  <c r="AD6" i="12"/>
  <c r="AF6" i="12"/>
  <c r="AG6" i="12"/>
  <c r="AJ6" i="12"/>
  <c r="AK6" i="12"/>
  <c r="AL6" i="12"/>
  <c r="AM6" i="12"/>
  <c r="AN6" i="12"/>
  <c r="AO6" i="12"/>
  <c r="AR6" i="12"/>
  <c r="AS6" i="12"/>
  <c r="AT6" i="12"/>
  <c r="AV6" i="12"/>
  <c r="AW6" i="12"/>
  <c r="AX6" i="12"/>
  <c r="AZ6" i="12"/>
  <c r="BB6" i="12"/>
  <c r="BC6" i="12"/>
  <c r="BD6" i="12"/>
  <c r="BE6" i="12"/>
  <c r="BG6" i="12"/>
  <c r="BI6" i="12"/>
  <c r="BJ6" i="12"/>
  <c r="BL6" i="12"/>
  <c r="BN6" i="12"/>
  <c r="BO6" i="12"/>
  <c r="BP6" i="12"/>
  <c r="BQ6" i="12"/>
  <c r="BR6" i="12"/>
  <c r="BU6" i="12"/>
  <c r="BV6" i="12"/>
  <c r="BW6" i="12"/>
  <c r="BY6" i="12"/>
  <c r="BZ6" i="12"/>
  <c r="CA6" i="12"/>
  <c r="CC6" i="12"/>
  <c r="CE6" i="12"/>
  <c r="CF6" i="12"/>
  <c r="CG6" i="12"/>
  <c r="CH6" i="12"/>
  <c r="CJ6" i="12"/>
  <c r="C7" i="12"/>
  <c r="D7" i="12"/>
  <c r="G7" i="12"/>
  <c r="H7" i="12"/>
  <c r="I7" i="12"/>
  <c r="J7" i="12"/>
  <c r="K7" i="12"/>
  <c r="L7" i="12"/>
  <c r="O7" i="12"/>
  <c r="P7" i="12"/>
  <c r="Q7" i="12"/>
  <c r="S7" i="12"/>
  <c r="T7" i="12"/>
  <c r="U7" i="12"/>
  <c r="W7" i="12"/>
  <c r="Y7" i="12"/>
  <c r="Z7" i="12"/>
  <c r="AA7" i="12"/>
  <c r="AB7" i="12"/>
  <c r="AD7" i="12"/>
  <c r="AF7" i="12"/>
  <c r="AG7" i="12"/>
  <c r="AJ7" i="12"/>
  <c r="AK7" i="12"/>
  <c r="AL7" i="12"/>
  <c r="AM7" i="12"/>
  <c r="AN7" i="12"/>
  <c r="AO7" i="12"/>
  <c r="AR7" i="12"/>
  <c r="AS7" i="12"/>
  <c r="AT7" i="12"/>
  <c r="AV7" i="12"/>
  <c r="AW7" i="12"/>
  <c r="AX7" i="12"/>
  <c r="AZ7" i="12"/>
  <c r="BB7" i="12"/>
  <c r="BC7" i="12"/>
  <c r="BD7" i="12"/>
  <c r="BE7" i="12"/>
  <c r="BG7" i="12"/>
  <c r="BI7" i="12"/>
  <c r="BJ7" i="12"/>
  <c r="BL7" i="12"/>
  <c r="BN7" i="12"/>
  <c r="BO7" i="12"/>
  <c r="BP7" i="12"/>
  <c r="BQ7" i="12"/>
  <c r="BR7" i="12"/>
  <c r="BU7" i="12"/>
  <c r="BV7" i="12"/>
  <c r="BW7" i="12"/>
  <c r="BY7" i="12"/>
  <c r="BZ7" i="12"/>
  <c r="CA7" i="12"/>
  <c r="CC7" i="12"/>
  <c r="CE7" i="12"/>
  <c r="CF7" i="12"/>
  <c r="CG7" i="12"/>
  <c r="CH7" i="12"/>
  <c r="CJ7" i="12"/>
  <c r="C8" i="12"/>
  <c r="D8" i="12"/>
  <c r="G8" i="12"/>
  <c r="H8" i="12"/>
  <c r="I8" i="12"/>
  <c r="J8" i="12"/>
  <c r="K8" i="12"/>
  <c r="L8" i="12"/>
  <c r="O8" i="12"/>
  <c r="P8" i="12"/>
  <c r="Q8" i="12"/>
  <c r="S8" i="12"/>
  <c r="T8" i="12"/>
  <c r="U8" i="12"/>
  <c r="W8" i="12"/>
  <c r="Y8" i="12"/>
  <c r="Z8" i="12"/>
  <c r="AA8" i="12"/>
  <c r="AB8" i="12"/>
  <c r="AD8" i="12"/>
  <c r="AF8" i="12"/>
  <c r="AG8" i="12"/>
  <c r="AJ8" i="12"/>
  <c r="AK8" i="12"/>
  <c r="AL8" i="12"/>
  <c r="AM8" i="12"/>
  <c r="AN8" i="12"/>
  <c r="AO8" i="12"/>
  <c r="AR8" i="12"/>
  <c r="AS8" i="12"/>
  <c r="AT8" i="12"/>
  <c r="AV8" i="12"/>
  <c r="AW8" i="12"/>
  <c r="AX8" i="12"/>
  <c r="AZ8" i="12"/>
  <c r="BB8" i="12"/>
  <c r="BC8" i="12"/>
  <c r="BD8" i="12"/>
  <c r="BE8" i="12"/>
  <c r="BG8" i="12"/>
  <c r="BI8" i="12"/>
  <c r="BJ8" i="12"/>
  <c r="BL8" i="12"/>
  <c r="BN8" i="12"/>
  <c r="BO8" i="12"/>
  <c r="BP8" i="12"/>
  <c r="BQ8" i="12"/>
  <c r="BR8" i="12"/>
  <c r="BU8" i="12"/>
  <c r="BV8" i="12"/>
  <c r="BW8" i="12"/>
  <c r="BY8" i="12"/>
  <c r="BZ8" i="12"/>
  <c r="CA8" i="12"/>
  <c r="CC8" i="12"/>
  <c r="CE8" i="12"/>
  <c r="CF8" i="12"/>
  <c r="CG8" i="12"/>
  <c r="CH8" i="12"/>
  <c r="CJ8" i="12"/>
  <c r="C9" i="12"/>
  <c r="D9" i="12"/>
  <c r="G9" i="12"/>
  <c r="H9" i="12"/>
  <c r="I9" i="12"/>
  <c r="J9" i="12"/>
  <c r="K9" i="12"/>
  <c r="L9" i="12"/>
  <c r="O9" i="12"/>
  <c r="P9" i="12"/>
  <c r="Q9" i="12"/>
  <c r="S9" i="12"/>
  <c r="T9" i="12"/>
  <c r="U9" i="12"/>
  <c r="W9" i="12"/>
  <c r="Y9" i="12"/>
  <c r="Z9" i="12"/>
  <c r="AA9" i="12"/>
  <c r="AB9" i="12"/>
  <c r="AD9" i="12"/>
  <c r="AF9" i="12"/>
  <c r="AG9" i="12"/>
  <c r="AJ9" i="12"/>
  <c r="AK9" i="12"/>
  <c r="AL9" i="12"/>
  <c r="AM9" i="12"/>
  <c r="AN9" i="12"/>
  <c r="AO9" i="12"/>
  <c r="AR9" i="12"/>
  <c r="AS9" i="12"/>
  <c r="AT9" i="12"/>
  <c r="AV9" i="12"/>
  <c r="AW9" i="12"/>
  <c r="AX9" i="12"/>
  <c r="AZ9" i="12"/>
  <c r="BB9" i="12"/>
  <c r="BC9" i="12"/>
  <c r="BD9" i="12"/>
  <c r="BE9" i="12"/>
  <c r="BG9" i="12"/>
  <c r="BI9" i="12"/>
  <c r="BJ9" i="12"/>
  <c r="BL9" i="12"/>
  <c r="BN9" i="12"/>
  <c r="BO9" i="12"/>
  <c r="BP9" i="12"/>
  <c r="BQ9" i="12"/>
  <c r="BR9" i="12"/>
  <c r="BU9" i="12"/>
  <c r="BV9" i="12"/>
  <c r="BW9" i="12"/>
  <c r="BY9" i="12"/>
  <c r="BZ9" i="12"/>
  <c r="CA9" i="12"/>
  <c r="CC9" i="12"/>
  <c r="CE9" i="12"/>
  <c r="CF9" i="12"/>
  <c r="CG9" i="12"/>
  <c r="CH9" i="12"/>
  <c r="CJ9" i="12"/>
  <c r="C10" i="12"/>
  <c r="D10" i="12"/>
  <c r="G10" i="12"/>
  <c r="H10" i="12"/>
  <c r="I10" i="12"/>
  <c r="J10" i="12"/>
  <c r="K10" i="12"/>
  <c r="L10" i="12"/>
  <c r="O10" i="12"/>
  <c r="P10" i="12"/>
  <c r="Q10" i="12"/>
  <c r="S10" i="12"/>
  <c r="T10" i="12"/>
  <c r="U10" i="12"/>
  <c r="W10" i="12"/>
  <c r="Y10" i="12"/>
  <c r="Z10" i="12"/>
  <c r="AA10" i="12"/>
  <c r="AB10" i="12"/>
  <c r="AD10" i="12"/>
  <c r="AF10" i="12"/>
  <c r="AG10" i="12"/>
  <c r="AJ10" i="12"/>
  <c r="AK10" i="12"/>
  <c r="AL10" i="12"/>
  <c r="AM10" i="12"/>
  <c r="AN10" i="12"/>
  <c r="AO10" i="12"/>
  <c r="AR10" i="12"/>
  <c r="AS10" i="12"/>
  <c r="AT10" i="12"/>
  <c r="AV10" i="12"/>
  <c r="AW10" i="12"/>
  <c r="AX10" i="12"/>
  <c r="AZ10" i="12"/>
  <c r="BB10" i="12"/>
  <c r="BC10" i="12"/>
  <c r="BD10" i="12"/>
  <c r="BE10" i="12"/>
  <c r="BG10" i="12"/>
  <c r="BI10" i="12"/>
  <c r="BJ10" i="12"/>
  <c r="BL10" i="12"/>
  <c r="BN10" i="12"/>
  <c r="BO10" i="12"/>
  <c r="BP10" i="12"/>
  <c r="BQ10" i="12"/>
  <c r="BR10" i="12"/>
  <c r="BU10" i="12"/>
  <c r="BV10" i="12"/>
  <c r="BW10" i="12"/>
  <c r="BY10" i="12"/>
  <c r="BZ10" i="12"/>
  <c r="CA10" i="12"/>
  <c r="CC10" i="12"/>
  <c r="CE10" i="12"/>
  <c r="CF10" i="12"/>
  <c r="CG10" i="12"/>
  <c r="CH10" i="12"/>
  <c r="CJ10" i="12"/>
  <c r="C11" i="12"/>
  <c r="D11" i="12"/>
  <c r="G11" i="12"/>
  <c r="H11" i="12"/>
  <c r="I11" i="12"/>
  <c r="J11" i="12"/>
  <c r="K11" i="12"/>
  <c r="L11" i="12"/>
  <c r="O11" i="12"/>
  <c r="P11" i="12"/>
  <c r="Q11" i="12"/>
  <c r="S11" i="12"/>
  <c r="T11" i="12"/>
  <c r="U11" i="12"/>
  <c r="W11" i="12"/>
  <c r="Y11" i="12"/>
  <c r="Z11" i="12"/>
  <c r="AA11" i="12"/>
  <c r="AB11" i="12"/>
  <c r="AD11" i="12"/>
  <c r="AF11" i="12"/>
  <c r="AG11" i="12"/>
  <c r="AJ11" i="12"/>
  <c r="AK11" i="12"/>
  <c r="AL11" i="12"/>
  <c r="AM11" i="12"/>
  <c r="AN11" i="12"/>
  <c r="AO11" i="12"/>
  <c r="AR11" i="12"/>
  <c r="AS11" i="12"/>
  <c r="AT11" i="12"/>
  <c r="AV11" i="12"/>
  <c r="AW11" i="12"/>
  <c r="AX11" i="12"/>
  <c r="AZ11" i="12"/>
  <c r="BB11" i="12"/>
  <c r="BC11" i="12"/>
  <c r="BD11" i="12"/>
  <c r="BE11" i="12"/>
  <c r="BG11" i="12"/>
  <c r="BI11" i="12"/>
  <c r="BJ11" i="12"/>
  <c r="BL11" i="12"/>
  <c r="BN11" i="12"/>
  <c r="BO11" i="12"/>
  <c r="BP11" i="12"/>
  <c r="BQ11" i="12"/>
  <c r="BR11" i="12"/>
  <c r="BU11" i="12"/>
  <c r="BV11" i="12"/>
  <c r="BW11" i="12"/>
  <c r="BY11" i="12"/>
  <c r="BZ11" i="12"/>
  <c r="CA11" i="12"/>
  <c r="CC11" i="12"/>
  <c r="CE11" i="12"/>
  <c r="CF11" i="12"/>
  <c r="CG11" i="12"/>
  <c r="CH11" i="12"/>
  <c r="CJ11" i="12"/>
  <c r="C12" i="12"/>
  <c r="D12" i="12"/>
  <c r="G12" i="12"/>
  <c r="H12" i="12"/>
  <c r="I12" i="12"/>
  <c r="J12" i="12"/>
  <c r="K12" i="12"/>
  <c r="L12" i="12"/>
  <c r="O12" i="12"/>
  <c r="P12" i="12"/>
  <c r="Q12" i="12"/>
  <c r="S12" i="12"/>
  <c r="T12" i="12"/>
  <c r="U12" i="12"/>
  <c r="W12" i="12"/>
  <c r="Y12" i="12"/>
  <c r="Z12" i="12"/>
  <c r="AA12" i="12"/>
  <c r="AB12" i="12"/>
  <c r="AD12" i="12"/>
  <c r="AF12" i="12"/>
  <c r="AG12" i="12"/>
  <c r="AJ12" i="12"/>
  <c r="AK12" i="12"/>
  <c r="AL12" i="12"/>
  <c r="AM12" i="12"/>
  <c r="AN12" i="12"/>
  <c r="AO12" i="12"/>
  <c r="AR12" i="12"/>
  <c r="AS12" i="12"/>
  <c r="AT12" i="12"/>
  <c r="AV12" i="12"/>
  <c r="AW12" i="12"/>
  <c r="AX12" i="12"/>
  <c r="AZ12" i="12"/>
  <c r="BB12" i="12"/>
  <c r="BC12" i="12"/>
  <c r="BD12" i="12"/>
  <c r="BE12" i="12"/>
  <c r="BG12" i="12"/>
  <c r="BI12" i="12"/>
  <c r="BJ12" i="12"/>
  <c r="BL12" i="12"/>
  <c r="BN12" i="12"/>
  <c r="BO12" i="12"/>
  <c r="BP12" i="12"/>
  <c r="BQ12" i="12"/>
  <c r="BR12" i="12"/>
  <c r="BU12" i="12"/>
  <c r="BV12" i="12"/>
  <c r="BW12" i="12"/>
  <c r="BY12" i="12"/>
  <c r="BZ12" i="12"/>
  <c r="CA12" i="12"/>
  <c r="CC12" i="12"/>
  <c r="CE12" i="12"/>
  <c r="CF12" i="12"/>
  <c r="CG12" i="12"/>
  <c r="CH12" i="12"/>
  <c r="CJ12" i="12"/>
  <c r="C13" i="12"/>
  <c r="D13" i="12"/>
  <c r="G13" i="12"/>
  <c r="H13" i="12"/>
  <c r="I13" i="12"/>
  <c r="J13" i="12"/>
  <c r="K13" i="12"/>
  <c r="L13" i="12"/>
  <c r="O13" i="12"/>
  <c r="P13" i="12"/>
  <c r="Q13" i="12"/>
  <c r="S13" i="12"/>
  <c r="T13" i="12"/>
  <c r="U13" i="12"/>
  <c r="W13" i="12"/>
  <c r="Y13" i="12"/>
  <c r="Z13" i="12"/>
  <c r="AA13" i="12"/>
  <c r="AB13" i="12"/>
  <c r="AD13" i="12"/>
  <c r="AF13" i="12"/>
  <c r="AG13" i="12"/>
  <c r="AJ13" i="12"/>
  <c r="AK13" i="12"/>
  <c r="AL13" i="12"/>
  <c r="AM13" i="12"/>
  <c r="AN13" i="12"/>
  <c r="AO13" i="12"/>
  <c r="AR13" i="12"/>
  <c r="AS13" i="12"/>
  <c r="AT13" i="12"/>
  <c r="AV13" i="12"/>
  <c r="AW13" i="12"/>
  <c r="AX13" i="12"/>
  <c r="AZ13" i="12"/>
  <c r="BB13" i="12"/>
  <c r="BC13" i="12"/>
  <c r="BD13" i="12"/>
  <c r="BE13" i="12"/>
  <c r="BG13" i="12"/>
  <c r="BI13" i="12"/>
  <c r="BJ13" i="12"/>
  <c r="BL13" i="12"/>
  <c r="BN13" i="12"/>
  <c r="BO13" i="12"/>
  <c r="BP13" i="12"/>
  <c r="BQ13" i="12"/>
  <c r="BR13" i="12"/>
  <c r="BU13" i="12"/>
  <c r="BV13" i="12"/>
  <c r="BW13" i="12"/>
  <c r="BY13" i="12"/>
  <c r="BZ13" i="12"/>
  <c r="CA13" i="12"/>
  <c r="CC13" i="12"/>
  <c r="CE13" i="12"/>
  <c r="CF13" i="12"/>
  <c r="CG13" i="12"/>
  <c r="CH13" i="12"/>
  <c r="CJ13" i="12"/>
  <c r="C16" i="12"/>
  <c r="D16" i="12"/>
  <c r="G16" i="12"/>
  <c r="H16" i="12"/>
  <c r="I16" i="12"/>
  <c r="J16" i="12"/>
  <c r="K16" i="12"/>
  <c r="L16" i="12"/>
  <c r="O16" i="12"/>
  <c r="P16" i="12"/>
  <c r="Q16" i="12"/>
  <c r="S16" i="12"/>
  <c r="T16" i="12"/>
  <c r="U16" i="12"/>
  <c r="W16" i="12"/>
  <c r="Y16" i="12"/>
  <c r="Z16" i="12"/>
  <c r="AA16" i="12"/>
  <c r="AB16" i="12"/>
  <c r="AD16" i="12"/>
  <c r="AF16" i="12"/>
  <c r="AG16" i="12"/>
  <c r="AJ16" i="12"/>
  <c r="AK16" i="12"/>
  <c r="AL16" i="12"/>
  <c r="AM16" i="12"/>
  <c r="AN16" i="12"/>
  <c r="AO16" i="12"/>
  <c r="AR16" i="12"/>
  <c r="AS16" i="12"/>
  <c r="AT16" i="12"/>
  <c r="AV16" i="12"/>
  <c r="AW16" i="12"/>
  <c r="AX16" i="12"/>
  <c r="AZ16" i="12"/>
  <c r="BB16" i="12"/>
  <c r="BC16" i="12"/>
  <c r="BD16" i="12"/>
  <c r="BE16" i="12"/>
  <c r="BG16" i="12"/>
  <c r="BI16" i="12"/>
  <c r="BJ16" i="12"/>
  <c r="BL16" i="12"/>
  <c r="BN16" i="12"/>
  <c r="BO16" i="12"/>
  <c r="BP16" i="12"/>
  <c r="BQ16" i="12"/>
  <c r="BR16" i="12"/>
  <c r="BU16" i="12"/>
  <c r="BV16" i="12"/>
  <c r="BW16" i="12"/>
  <c r="BY16" i="12"/>
  <c r="BZ16" i="12"/>
  <c r="CA16" i="12"/>
  <c r="CC16" i="12"/>
  <c r="CE16" i="12"/>
  <c r="CF16" i="12"/>
  <c r="CG16" i="12"/>
  <c r="CH16" i="12"/>
  <c r="CJ16" i="12"/>
  <c r="C17" i="12"/>
  <c r="D17" i="12"/>
  <c r="G17" i="12"/>
  <c r="H17" i="12"/>
  <c r="I17" i="12"/>
  <c r="J17" i="12"/>
  <c r="K17" i="12"/>
  <c r="L17" i="12"/>
  <c r="O17" i="12"/>
  <c r="P17" i="12"/>
  <c r="Q17" i="12"/>
  <c r="S17" i="12"/>
  <c r="T17" i="12"/>
  <c r="U17" i="12"/>
  <c r="W17" i="12"/>
  <c r="Y17" i="12"/>
  <c r="Z17" i="12"/>
  <c r="AA17" i="12"/>
  <c r="AB17" i="12"/>
  <c r="AD17" i="12"/>
  <c r="AF17" i="12"/>
  <c r="AG17" i="12"/>
  <c r="AJ17" i="12"/>
  <c r="AK17" i="12"/>
  <c r="AL17" i="12"/>
  <c r="AM17" i="12"/>
  <c r="AN17" i="12"/>
  <c r="AO17" i="12"/>
  <c r="AR17" i="12"/>
  <c r="AS17" i="12"/>
  <c r="AT17" i="12"/>
  <c r="AV17" i="12"/>
  <c r="AW17" i="12"/>
  <c r="AX17" i="12"/>
  <c r="AZ17" i="12"/>
  <c r="BB17" i="12"/>
  <c r="BC17" i="12"/>
  <c r="BD17" i="12"/>
  <c r="BE17" i="12"/>
  <c r="BG17" i="12"/>
  <c r="BI17" i="12"/>
  <c r="BJ17" i="12"/>
  <c r="BL17" i="12"/>
  <c r="BN17" i="12"/>
  <c r="BO17" i="12"/>
  <c r="BP17" i="12"/>
  <c r="BQ17" i="12"/>
  <c r="BR17" i="12"/>
  <c r="BU17" i="12"/>
  <c r="BV17" i="12"/>
  <c r="BW17" i="12"/>
  <c r="BY17" i="12"/>
  <c r="BZ17" i="12"/>
  <c r="CA17" i="12"/>
  <c r="CC17" i="12"/>
  <c r="CE17" i="12"/>
  <c r="CF17" i="12"/>
  <c r="CG17" i="12"/>
  <c r="CH17" i="12"/>
  <c r="CJ17" i="12"/>
  <c r="C18" i="12"/>
  <c r="D18" i="12"/>
  <c r="G18" i="12"/>
  <c r="H18" i="12"/>
  <c r="I18" i="12"/>
  <c r="J18" i="12"/>
  <c r="K18" i="12"/>
  <c r="L18" i="12"/>
  <c r="O18" i="12"/>
  <c r="P18" i="12"/>
  <c r="Q18" i="12"/>
  <c r="S18" i="12"/>
  <c r="T18" i="12"/>
  <c r="U18" i="12"/>
  <c r="W18" i="12"/>
  <c r="Y18" i="12"/>
  <c r="Z18" i="12"/>
  <c r="AA18" i="12"/>
  <c r="AB18" i="12"/>
  <c r="AD18" i="12"/>
  <c r="AF18" i="12"/>
  <c r="AG18" i="12"/>
  <c r="AJ18" i="12"/>
  <c r="AK18" i="12"/>
  <c r="AL18" i="12"/>
  <c r="AM18" i="12"/>
  <c r="AN18" i="12"/>
  <c r="AO18" i="12"/>
  <c r="AR18" i="12"/>
  <c r="AS18" i="12"/>
  <c r="AT18" i="12"/>
  <c r="AV18" i="12"/>
  <c r="AW18" i="12"/>
  <c r="AX18" i="12"/>
  <c r="AZ18" i="12"/>
  <c r="BB18" i="12"/>
  <c r="BC18" i="12"/>
  <c r="BD18" i="12"/>
  <c r="BE18" i="12"/>
  <c r="BG18" i="12"/>
  <c r="BI18" i="12"/>
  <c r="BJ18" i="12"/>
  <c r="BL18" i="12"/>
  <c r="BN18" i="12"/>
  <c r="BO18" i="12"/>
  <c r="BP18" i="12"/>
  <c r="BQ18" i="12"/>
  <c r="BR18" i="12"/>
  <c r="BU18" i="12"/>
  <c r="BV18" i="12"/>
  <c r="BW18" i="12"/>
  <c r="BY18" i="12"/>
  <c r="BZ18" i="12"/>
  <c r="CA18" i="12"/>
  <c r="CC18" i="12"/>
  <c r="CE18" i="12"/>
  <c r="CF18" i="12"/>
  <c r="CG18" i="12"/>
  <c r="CH18" i="12"/>
  <c r="CJ18" i="12"/>
  <c r="C19" i="12"/>
  <c r="D19" i="12"/>
  <c r="G19" i="12"/>
  <c r="H19" i="12"/>
  <c r="I19" i="12"/>
  <c r="J19" i="12"/>
  <c r="K19" i="12"/>
  <c r="L19" i="12"/>
  <c r="O19" i="12"/>
  <c r="P19" i="12"/>
  <c r="Q19" i="12"/>
  <c r="S19" i="12"/>
  <c r="T19" i="12"/>
  <c r="U19" i="12"/>
  <c r="W19" i="12"/>
  <c r="Y19" i="12"/>
  <c r="Z19" i="12"/>
  <c r="AA19" i="12"/>
  <c r="AB19" i="12"/>
  <c r="AD19" i="12"/>
  <c r="AF19" i="12"/>
  <c r="AG19" i="12"/>
  <c r="AJ19" i="12"/>
  <c r="AK19" i="12"/>
  <c r="AL19" i="12"/>
  <c r="AM19" i="12"/>
  <c r="AN19" i="12"/>
  <c r="AO19" i="12"/>
  <c r="AR19" i="12"/>
  <c r="AS19" i="12"/>
  <c r="AT19" i="12"/>
  <c r="AV19" i="12"/>
  <c r="AW19" i="12"/>
  <c r="AX19" i="12"/>
  <c r="AZ19" i="12"/>
  <c r="BB19" i="12"/>
  <c r="BC19" i="12"/>
  <c r="BD19" i="12"/>
  <c r="BE19" i="12"/>
  <c r="BG19" i="12"/>
  <c r="BI19" i="12"/>
  <c r="BJ19" i="12"/>
  <c r="BL19" i="12"/>
  <c r="BN19" i="12"/>
  <c r="BO19" i="12"/>
  <c r="BP19" i="12"/>
  <c r="BQ19" i="12"/>
  <c r="BR19" i="12"/>
  <c r="BU19" i="12"/>
  <c r="BV19" i="12"/>
  <c r="BW19" i="12"/>
  <c r="BY19" i="12"/>
  <c r="BZ19" i="12"/>
  <c r="CA19" i="12"/>
  <c r="CC19" i="12"/>
  <c r="CE19" i="12"/>
  <c r="CF19" i="12"/>
  <c r="CG19" i="12"/>
  <c r="CH19" i="12"/>
  <c r="CJ19" i="12"/>
  <c r="C20" i="12"/>
  <c r="D20" i="12"/>
  <c r="G20" i="12"/>
  <c r="H20" i="12"/>
  <c r="I20" i="12"/>
  <c r="J20" i="12"/>
  <c r="K20" i="12"/>
  <c r="L20" i="12"/>
  <c r="O20" i="12"/>
  <c r="P20" i="12"/>
  <c r="Q20" i="12"/>
  <c r="S20" i="12"/>
  <c r="T20" i="12"/>
  <c r="U20" i="12"/>
  <c r="W20" i="12"/>
  <c r="Y20" i="12"/>
  <c r="Z20" i="12"/>
  <c r="AA20" i="12"/>
  <c r="AB20" i="12"/>
  <c r="AD20" i="12"/>
  <c r="AF20" i="12"/>
  <c r="AG20" i="12"/>
  <c r="AJ20" i="12"/>
  <c r="AK20" i="12"/>
  <c r="AL20" i="12"/>
  <c r="AM20" i="12"/>
  <c r="AN20" i="12"/>
  <c r="AO20" i="12"/>
  <c r="AR20" i="12"/>
  <c r="AS20" i="12"/>
  <c r="AT20" i="12"/>
  <c r="AV20" i="12"/>
  <c r="AW20" i="12"/>
  <c r="AX20" i="12"/>
  <c r="AZ20" i="12"/>
  <c r="BB20" i="12"/>
  <c r="BC20" i="12"/>
  <c r="BD20" i="12"/>
  <c r="BE20" i="12"/>
  <c r="BG20" i="12"/>
  <c r="BI20" i="12"/>
  <c r="BJ20" i="12"/>
  <c r="BL20" i="12"/>
  <c r="BN20" i="12"/>
  <c r="BO20" i="12"/>
  <c r="BP20" i="12"/>
  <c r="BQ20" i="12"/>
  <c r="BR20" i="12"/>
  <c r="BU20" i="12"/>
  <c r="BV20" i="12"/>
  <c r="BW20" i="12"/>
  <c r="BY20" i="12"/>
  <c r="BZ20" i="12"/>
  <c r="CA20" i="12"/>
  <c r="CC20" i="12"/>
  <c r="CE20" i="12"/>
  <c r="CF20" i="12"/>
  <c r="CG20" i="12"/>
  <c r="CH20" i="12"/>
  <c r="CJ20" i="12"/>
  <c r="C21" i="12"/>
  <c r="D21" i="12"/>
  <c r="G21" i="12"/>
  <c r="H21" i="12"/>
  <c r="I21" i="12"/>
  <c r="J21" i="12"/>
  <c r="K21" i="12"/>
  <c r="L21" i="12"/>
  <c r="O21" i="12"/>
  <c r="P21" i="12"/>
  <c r="Q21" i="12"/>
  <c r="S21" i="12"/>
  <c r="T21" i="12"/>
  <c r="U21" i="12"/>
  <c r="W21" i="12"/>
  <c r="Y21" i="12"/>
  <c r="Z21" i="12"/>
  <c r="AA21" i="12"/>
  <c r="AB21" i="12"/>
  <c r="AD21" i="12"/>
  <c r="AF21" i="12"/>
  <c r="AG21" i="12"/>
  <c r="AJ21" i="12"/>
  <c r="AK21" i="12"/>
  <c r="AL21" i="12"/>
  <c r="AM21" i="12"/>
  <c r="AN21" i="12"/>
  <c r="AO21" i="12"/>
  <c r="AR21" i="12"/>
  <c r="AS21" i="12"/>
  <c r="AT21" i="12"/>
  <c r="AV21" i="12"/>
  <c r="AW21" i="12"/>
  <c r="AX21" i="12"/>
  <c r="AZ21" i="12"/>
  <c r="BB21" i="12"/>
  <c r="BC21" i="12"/>
  <c r="BD21" i="12"/>
  <c r="BE21" i="12"/>
  <c r="BG21" i="12"/>
  <c r="BI21" i="12"/>
  <c r="BJ21" i="12"/>
  <c r="BL21" i="12"/>
  <c r="BN21" i="12"/>
  <c r="BO21" i="12"/>
  <c r="BP21" i="12"/>
  <c r="BQ21" i="12"/>
  <c r="BR21" i="12"/>
  <c r="BU21" i="12"/>
  <c r="BV21" i="12"/>
  <c r="BW21" i="12"/>
  <c r="BY21" i="12"/>
  <c r="BZ21" i="12"/>
  <c r="CA21" i="12"/>
  <c r="CC21" i="12"/>
  <c r="CE21" i="12"/>
  <c r="CF21" i="12"/>
  <c r="CG21" i="12"/>
  <c r="CH21" i="12"/>
  <c r="CJ21" i="12"/>
  <c r="C22" i="12"/>
  <c r="D22" i="12"/>
  <c r="G22" i="12"/>
  <c r="H22" i="12"/>
  <c r="I22" i="12"/>
  <c r="J22" i="12"/>
  <c r="K22" i="12"/>
  <c r="L22" i="12"/>
  <c r="O22" i="12"/>
  <c r="P22" i="12"/>
  <c r="Q22" i="12"/>
  <c r="S22" i="12"/>
  <c r="T22" i="12"/>
  <c r="U22" i="12"/>
  <c r="W22" i="12"/>
  <c r="Y22" i="12"/>
  <c r="Z22" i="12"/>
  <c r="AA22" i="12"/>
  <c r="AB22" i="12"/>
  <c r="AD22" i="12"/>
  <c r="AF22" i="12"/>
  <c r="AG22" i="12"/>
  <c r="AJ22" i="12"/>
  <c r="AK22" i="12"/>
  <c r="AL22" i="12"/>
  <c r="AM22" i="12"/>
  <c r="AN22" i="12"/>
  <c r="AO22" i="12"/>
  <c r="AR22" i="12"/>
  <c r="AS22" i="12"/>
  <c r="AT22" i="12"/>
  <c r="AV22" i="12"/>
  <c r="AW22" i="12"/>
  <c r="AX22" i="12"/>
  <c r="AZ22" i="12"/>
  <c r="BB22" i="12"/>
  <c r="BC22" i="12"/>
  <c r="BD22" i="12"/>
  <c r="BE22" i="12"/>
  <c r="BG22" i="12"/>
  <c r="BI22" i="12"/>
  <c r="BJ22" i="12"/>
  <c r="BL22" i="12"/>
  <c r="BN22" i="12"/>
  <c r="BO22" i="12"/>
  <c r="BP22" i="12"/>
  <c r="BQ22" i="12"/>
  <c r="BR22" i="12"/>
  <c r="BU22" i="12"/>
  <c r="BV22" i="12"/>
  <c r="BW22" i="12"/>
  <c r="BY22" i="12"/>
  <c r="BZ22" i="12"/>
  <c r="CA22" i="12"/>
  <c r="CC22" i="12"/>
  <c r="CE22" i="12"/>
  <c r="CF22" i="12"/>
  <c r="CG22" i="12"/>
  <c r="CH22" i="12"/>
  <c r="CJ22" i="12"/>
  <c r="C23" i="12"/>
  <c r="D23" i="12"/>
  <c r="G23" i="12"/>
  <c r="H23" i="12"/>
  <c r="I23" i="12"/>
  <c r="J23" i="12"/>
  <c r="K23" i="12"/>
  <c r="L23" i="12"/>
  <c r="O23" i="12"/>
  <c r="P23" i="12"/>
  <c r="Q23" i="12"/>
  <c r="S23" i="12"/>
  <c r="T23" i="12"/>
  <c r="U23" i="12"/>
  <c r="W23" i="12"/>
  <c r="Y23" i="12"/>
  <c r="Z23" i="12"/>
  <c r="AA23" i="12"/>
  <c r="AB23" i="12"/>
  <c r="AD23" i="12"/>
  <c r="AF23" i="12"/>
  <c r="AG23" i="12"/>
  <c r="AJ23" i="12"/>
  <c r="AK23" i="12"/>
  <c r="AL23" i="12"/>
  <c r="AM23" i="12"/>
  <c r="AN23" i="12"/>
  <c r="AO23" i="12"/>
  <c r="AR23" i="12"/>
  <c r="AS23" i="12"/>
  <c r="AT23" i="12"/>
  <c r="AV23" i="12"/>
  <c r="AW23" i="12"/>
  <c r="AX23" i="12"/>
  <c r="AZ23" i="12"/>
  <c r="BB23" i="12"/>
  <c r="BC23" i="12"/>
  <c r="BD23" i="12"/>
  <c r="BE23" i="12"/>
  <c r="BG23" i="12"/>
  <c r="BI23" i="12"/>
  <c r="BJ23" i="12"/>
  <c r="BL23" i="12"/>
  <c r="BN23" i="12"/>
  <c r="BO23" i="12"/>
  <c r="BP23" i="12"/>
  <c r="BQ23" i="12"/>
  <c r="BR23" i="12"/>
  <c r="BU23" i="12"/>
  <c r="BV23" i="12"/>
  <c r="BW23" i="12"/>
  <c r="BY23" i="12"/>
  <c r="BZ23" i="12"/>
  <c r="CA23" i="12"/>
  <c r="CC23" i="12"/>
  <c r="CE23" i="12"/>
  <c r="CF23" i="12"/>
  <c r="CG23" i="12"/>
  <c r="CH23" i="12"/>
  <c r="CJ23" i="12"/>
  <c r="C24" i="12"/>
  <c r="D24" i="12"/>
  <c r="G24" i="12"/>
  <c r="H24" i="12"/>
  <c r="I24" i="12"/>
  <c r="J24" i="12"/>
  <c r="K24" i="12"/>
  <c r="L24" i="12"/>
  <c r="O24" i="12"/>
  <c r="P24" i="12"/>
  <c r="Q24" i="12"/>
  <c r="S24" i="12"/>
  <c r="T24" i="12"/>
  <c r="U24" i="12"/>
  <c r="W24" i="12"/>
  <c r="Y24" i="12"/>
  <c r="Z24" i="12"/>
  <c r="AA24" i="12"/>
  <c r="AB24" i="12"/>
  <c r="AD24" i="12"/>
  <c r="AF24" i="12"/>
  <c r="AG24" i="12"/>
  <c r="AJ24" i="12"/>
  <c r="AK24" i="12"/>
  <c r="AL24" i="12"/>
  <c r="AM24" i="12"/>
  <c r="AN24" i="12"/>
  <c r="AO24" i="12"/>
  <c r="AR24" i="12"/>
  <c r="AS24" i="12"/>
  <c r="AT24" i="12"/>
  <c r="AV24" i="12"/>
  <c r="AW24" i="12"/>
  <c r="AX24" i="12"/>
  <c r="AZ24" i="12"/>
  <c r="BB24" i="12"/>
  <c r="BC24" i="12"/>
  <c r="BD24" i="12"/>
  <c r="BE24" i="12"/>
  <c r="BG24" i="12"/>
  <c r="BI24" i="12"/>
  <c r="BJ24" i="12"/>
  <c r="BL24" i="12"/>
  <c r="BN24" i="12"/>
  <c r="BO24" i="12"/>
  <c r="BP24" i="12"/>
  <c r="BQ24" i="12"/>
  <c r="BR24" i="12"/>
  <c r="BU24" i="12"/>
  <c r="BV24" i="12"/>
  <c r="BW24" i="12"/>
  <c r="BY24" i="12"/>
  <c r="BZ24" i="12"/>
  <c r="CA24" i="12"/>
  <c r="CC24" i="12"/>
  <c r="CE24" i="12"/>
  <c r="CF24" i="12"/>
  <c r="CG24" i="12"/>
  <c r="CH24" i="12"/>
  <c r="CJ24" i="12"/>
  <c r="C25" i="12"/>
  <c r="D25" i="12"/>
  <c r="G25" i="12"/>
  <c r="H25" i="12"/>
  <c r="I25" i="12"/>
  <c r="J25" i="12"/>
  <c r="K25" i="12"/>
  <c r="L25" i="12"/>
  <c r="O25" i="12"/>
  <c r="P25" i="12"/>
  <c r="Q25" i="12"/>
  <c r="S25" i="12"/>
  <c r="T25" i="12"/>
  <c r="U25" i="12"/>
  <c r="W25" i="12"/>
  <c r="Y25" i="12"/>
  <c r="Z25" i="12"/>
  <c r="AA25" i="12"/>
  <c r="AB25" i="12"/>
  <c r="AD25" i="12"/>
  <c r="AF25" i="12"/>
  <c r="AG25" i="12"/>
  <c r="AJ25" i="12"/>
  <c r="AK25" i="12"/>
  <c r="AL25" i="12"/>
  <c r="AM25" i="12"/>
  <c r="AN25" i="12"/>
  <c r="AO25" i="12"/>
  <c r="AR25" i="12"/>
  <c r="AS25" i="12"/>
  <c r="AT25" i="12"/>
  <c r="AV25" i="12"/>
  <c r="AW25" i="12"/>
  <c r="AX25" i="12"/>
  <c r="AZ25" i="12"/>
  <c r="BB25" i="12"/>
  <c r="BC25" i="12"/>
  <c r="BD25" i="12"/>
  <c r="BE25" i="12"/>
  <c r="BG25" i="12"/>
  <c r="BI25" i="12"/>
  <c r="BJ25" i="12"/>
  <c r="BL25" i="12"/>
  <c r="BN25" i="12"/>
  <c r="BO25" i="12"/>
  <c r="BP25" i="12"/>
  <c r="BQ25" i="12"/>
  <c r="BR25" i="12"/>
  <c r="BU25" i="12"/>
  <c r="BV25" i="12"/>
  <c r="BW25" i="12"/>
  <c r="BY25" i="12"/>
  <c r="BZ25" i="12"/>
  <c r="CA25" i="12"/>
  <c r="CC25" i="12"/>
  <c r="CE25" i="12"/>
  <c r="CF25" i="12"/>
  <c r="CG25" i="12"/>
  <c r="CH25" i="12"/>
  <c r="CJ25" i="12"/>
</calcChain>
</file>

<file path=xl/comments1.xml><?xml version="1.0" encoding="utf-8"?>
<comments xmlns="http://schemas.openxmlformats.org/spreadsheetml/2006/main">
  <authors>
    <author>Allegro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Allegro:</t>
        </r>
        <r>
          <rPr>
            <sz val="9"/>
            <color indexed="81"/>
            <rFont val="Tahoma"/>
            <family val="2"/>
          </rPr>
          <t xml:space="preserve">
Refer datasheet and curves in the tools for Vin_min to avoid duty cycle saturation or current limit trigger</t>
        </r>
      </text>
    </comment>
    <comment ref="B56" authorId="0" shapeId="0">
      <text>
        <r>
          <rPr>
            <b/>
            <sz val="9"/>
            <color indexed="81"/>
            <rFont val="Tahoma"/>
            <family val="2"/>
          </rPr>
          <t>Allegro:</t>
        </r>
        <r>
          <rPr>
            <sz val="9"/>
            <color indexed="81"/>
            <rFont val="Tahoma"/>
            <family val="2"/>
          </rPr>
          <t xml:space="preserve">
If no margin, choose larger inductance or smaller R</t>
        </r>
        <r>
          <rPr>
            <vertAlign val="subscript"/>
            <sz val="9"/>
            <color indexed="81"/>
            <rFont val="Tahoma"/>
            <family val="2"/>
          </rPr>
          <t xml:space="preserve">NG </t>
        </r>
        <r>
          <rPr>
            <sz val="9"/>
            <color indexed="81"/>
            <rFont val="Tahoma"/>
            <family val="2"/>
          </rPr>
          <t>for smaller Dboost to reduce peak inductor current</t>
        </r>
      </text>
    </comment>
  </commentList>
</comments>
</file>

<file path=xl/comments2.xml><?xml version="1.0" encoding="utf-8"?>
<comments xmlns="http://schemas.openxmlformats.org/spreadsheetml/2006/main">
  <authors>
    <author>Allegro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Allegro:</t>
        </r>
        <r>
          <rPr>
            <sz val="9"/>
            <color indexed="81"/>
            <rFont val="Tahoma"/>
            <family val="2"/>
          </rPr>
          <t xml:space="preserve">
In Buck-Boost mode, actual Buck duty is larger than the preferred value to offset the losses</t>
        </r>
      </text>
    </comment>
  </commentList>
</comments>
</file>

<file path=xl/sharedStrings.xml><?xml version="1.0" encoding="utf-8"?>
<sst xmlns="http://schemas.openxmlformats.org/spreadsheetml/2006/main" count="739" uniqueCount="347">
  <si>
    <t>gm_power</t>
  </si>
  <si>
    <t>PARAMETER</t>
  </si>
  <si>
    <t>V</t>
  </si>
  <si>
    <t>A/V</t>
  </si>
  <si>
    <t>ns</t>
  </si>
  <si>
    <t>mA</t>
  </si>
  <si>
    <t>V/ns</t>
  </si>
  <si>
    <t>LX_slew_rise</t>
  </si>
  <si>
    <t>LX_slew_fall</t>
  </si>
  <si>
    <t>nC</t>
  </si>
  <si>
    <t>AVOL</t>
  </si>
  <si>
    <t>dB</t>
  </si>
  <si>
    <t>gm_EA</t>
  </si>
  <si>
    <t>A</t>
  </si>
  <si>
    <t>Rz</t>
  </si>
  <si>
    <t>Cp</t>
  </si>
  <si>
    <t>MHz</t>
  </si>
  <si>
    <t>nF</t>
  </si>
  <si>
    <t>pF</t>
  </si>
  <si>
    <t>mV</t>
  </si>
  <si>
    <t>VFB</t>
  </si>
  <si>
    <t>‒</t>
  </si>
  <si>
    <r>
      <rPr>
        <sz val="11"/>
        <color indexed="8"/>
        <rFont val="Calibri"/>
        <family val="2"/>
      </rPr>
      <t>°</t>
    </r>
    <r>
      <rPr>
        <sz val="11"/>
        <color theme="1"/>
        <rFont val="Calibri"/>
        <family val="2"/>
        <scheme val="minor"/>
      </rPr>
      <t>C/W</t>
    </r>
  </si>
  <si>
    <t>%</t>
  </si>
  <si>
    <t>VFB tol</t>
  </si>
  <si>
    <t>Co_ESR</t>
  </si>
  <si>
    <t>Co_ESL</t>
  </si>
  <si>
    <t>nH</t>
  </si>
  <si>
    <t>VALUE</t>
  </si>
  <si>
    <t>COMPONENT</t>
  </si>
  <si>
    <t>MIN</t>
  </si>
  <si>
    <t>TYP</t>
  </si>
  <si>
    <t>MAX</t>
  </si>
  <si>
    <t>UNITS</t>
  </si>
  <si>
    <t>UVLO Hysteresis</t>
  </si>
  <si>
    <t>COMMENTS</t>
  </si>
  <si>
    <t>ms</t>
  </si>
  <si>
    <t>SS_I_source</t>
  </si>
  <si>
    <t>Fsw_tol</t>
  </si>
  <si>
    <t xml:space="preserve">Fsw = </t>
  </si>
  <si>
    <t xml:space="preserve">Lo = </t>
  </si>
  <si>
    <t>Cin_min</t>
  </si>
  <si>
    <t>fc =</t>
  </si>
  <si>
    <t>Input capacitance RMS current requirement</t>
  </si>
  <si>
    <t>Calculated values</t>
  </si>
  <si>
    <t>Vout, target</t>
  </si>
  <si>
    <t>RFB1_calc</t>
  </si>
  <si>
    <t>RFB2_calc</t>
  </si>
  <si>
    <t xml:space="preserve">RFB1 = </t>
  </si>
  <si>
    <t>RFB2 =</t>
  </si>
  <si>
    <t>Data sheet values</t>
  </si>
  <si>
    <t>Design supplied value</t>
  </si>
  <si>
    <t>Data sheet value</t>
  </si>
  <si>
    <t>C_SS_min</t>
  </si>
  <si>
    <t>Output inductor tolerances</t>
  </si>
  <si>
    <t>t_ss_typ</t>
  </si>
  <si>
    <t>SS_delay_typ</t>
  </si>
  <si>
    <t>Typical soft-start ramp time using actual C_SS</t>
  </si>
  <si>
    <t xml:space="preserve">C_SS = </t>
  </si>
  <si>
    <t>Recommended minimum soft-start capacitor</t>
  </si>
  <si>
    <r>
      <t>K</t>
    </r>
    <r>
      <rPr>
        <sz val="11"/>
        <color indexed="8"/>
        <rFont val="Calibri"/>
        <family val="2"/>
      </rPr>
      <t>Ω</t>
    </r>
  </si>
  <si>
    <t>Approximate soft start time (Vout ramp)</t>
  </si>
  <si>
    <r>
      <t>A</t>
    </r>
    <r>
      <rPr>
        <vertAlign val="subscript"/>
        <sz val="11"/>
        <color indexed="8"/>
        <rFont val="Calibri"/>
        <family val="2"/>
      </rPr>
      <t>DC</t>
    </r>
  </si>
  <si>
    <t>SS time, target</t>
  </si>
  <si>
    <r>
      <rPr>
        <sz val="11"/>
        <color indexed="8"/>
        <rFont val="Calibri"/>
        <family val="2"/>
      </rPr>
      <t>µ</t>
    </r>
    <r>
      <rPr>
        <sz val="11"/>
        <color theme="1"/>
        <rFont val="Calibri"/>
        <family val="2"/>
        <scheme val="minor"/>
      </rPr>
      <t>H</t>
    </r>
  </si>
  <si>
    <r>
      <rPr>
        <sz val="11"/>
        <color indexed="8"/>
        <rFont val="Calibri"/>
        <family val="2"/>
      </rPr>
      <t>µ</t>
    </r>
    <r>
      <rPr>
        <sz val="11"/>
        <color theme="1"/>
        <rFont val="Calibri"/>
        <family val="2"/>
        <scheme val="minor"/>
      </rPr>
      <t>F</t>
    </r>
  </si>
  <si>
    <r>
      <t>A</t>
    </r>
    <r>
      <rPr>
        <vertAlign val="subscript"/>
        <sz val="11"/>
        <color indexed="8"/>
        <rFont val="Calibri"/>
        <family val="2"/>
      </rPr>
      <t>RMS</t>
    </r>
  </si>
  <si>
    <r>
      <t>Iout</t>
    </r>
    <r>
      <rPr>
        <b/>
        <vertAlign val="subscript"/>
        <sz val="11"/>
        <color indexed="8"/>
        <rFont val="Calibri"/>
        <family val="2"/>
      </rPr>
      <t>MAX</t>
    </r>
  </si>
  <si>
    <r>
      <t>fc</t>
    </r>
    <r>
      <rPr>
        <b/>
        <vertAlign val="subscript"/>
        <sz val="11"/>
        <color indexed="8"/>
        <rFont val="Calibri"/>
        <family val="2"/>
      </rPr>
      <t>MAX</t>
    </r>
  </si>
  <si>
    <t>RFB combo</t>
  </si>
  <si>
    <t>Recommended minimum input capacitance including DC bias</t>
  </si>
  <si>
    <r>
      <t>Typical delay from EN</t>
    </r>
    <r>
      <rPr>
        <sz val="11"/>
        <color indexed="8"/>
        <rFont val="Calibri"/>
        <family val="2"/>
      </rPr>
      <t>↑</t>
    </r>
    <r>
      <rPr>
        <sz val="11"/>
        <color theme="1"/>
        <rFont val="Calibri"/>
        <family val="2"/>
        <scheme val="minor"/>
      </rPr>
      <t xml:space="preserve"> to when LX begins switching and Vout rises</t>
    </r>
  </si>
  <si>
    <t>Ω</t>
  </si>
  <si>
    <r>
      <t>f</t>
    </r>
    <r>
      <rPr>
        <b/>
        <vertAlign val="subscript"/>
        <sz val="11"/>
        <color indexed="8"/>
        <rFont val="Calibri"/>
        <family val="2"/>
      </rPr>
      <t>P1</t>
    </r>
  </si>
  <si>
    <r>
      <t>f</t>
    </r>
    <r>
      <rPr>
        <b/>
        <vertAlign val="subscript"/>
        <sz val="11"/>
        <color indexed="8"/>
        <rFont val="Calibri"/>
        <family val="2"/>
      </rPr>
      <t>Z1</t>
    </r>
  </si>
  <si>
    <t>Ro_EA</t>
  </si>
  <si>
    <r>
      <t>M</t>
    </r>
    <r>
      <rPr>
        <sz val="11"/>
        <color indexed="8"/>
        <rFont val="Calibri"/>
        <family val="2"/>
      </rPr>
      <t>Ω</t>
    </r>
  </si>
  <si>
    <t xml:space="preserve">Rz = </t>
  </si>
  <si>
    <t>Use the closest available 1% standard resister value</t>
  </si>
  <si>
    <r>
      <t>R_LOAD</t>
    </r>
    <r>
      <rPr>
        <b/>
        <vertAlign val="subscript"/>
        <sz val="11"/>
        <color indexed="8"/>
        <rFont val="Calibri"/>
        <family val="2"/>
      </rPr>
      <t>TYP</t>
    </r>
  </si>
  <si>
    <t>Zero formed by the output capacitance and its ESR</t>
  </si>
  <si>
    <t>Desired maximum output current</t>
  </si>
  <si>
    <t>Iout</t>
  </si>
  <si>
    <t>Psw</t>
  </si>
  <si>
    <t>Pcond</t>
  </si>
  <si>
    <t>Chosen value, total R seen by the FB pin</t>
  </si>
  <si>
    <r>
      <t>m</t>
    </r>
    <r>
      <rPr>
        <sz val="11"/>
        <color indexed="8"/>
        <rFont val="Calibri"/>
        <family val="2"/>
      </rPr>
      <t>Ω</t>
    </r>
  </si>
  <si>
    <r>
      <rPr>
        <sz val="11"/>
        <color indexed="8"/>
        <rFont val="Calibri"/>
        <family val="2"/>
      </rPr>
      <t>°</t>
    </r>
    <r>
      <rPr>
        <sz val="11"/>
        <color theme="1"/>
        <rFont val="Calibri"/>
        <family val="2"/>
        <scheme val="minor"/>
      </rPr>
      <t>C</t>
    </r>
  </si>
  <si>
    <r>
      <t>T</t>
    </r>
    <r>
      <rPr>
        <b/>
        <vertAlign val="subscript"/>
        <sz val="11"/>
        <color indexed="8"/>
        <rFont val="Calibri"/>
        <family val="2"/>
      </rPr>
      <t>AMB</t>
    </r>
  </si>
  <si>
    <r>
      <t>Data sheet value, strongly affects Fsw at Vin</t>
    </r>
    <r>
      <rPr>
        <vertAlign val="subscript"/>
        <sz val="11"/>
        <color indexed="8"/>
        <rFont val="Calibri"/>
        <family val="2"/>
      </rPr>
      <t>MAX</t>
    </r>
  </si>
  <si>
    <r>
      <t>Data sheet value, strongly affects Fsw at Vin</t>
    </r>
    <r>
      <rPr>
        <vertAlign val="subscript"/>
        <sz val="11"/>
        <color indexed="8"/>
        <rFont val="Calibri"/>
        <family val="2"/>
      </rPr>
      <t>MIN</t>
    </r>
  </si>
  <si>
    <r>
      <t>t_on</t>
    </r>
    <r>
      <rPr>
        <b/>
        <vertAlign val="subscript"/>
        <sz val="11"/>
        <color indexed="8"/>
        <rFont val="Calibri"/>
        <family val="2"/>
      </rPr>
      <t>MIN</t>
    </r>
  </si>
  <si>
    <r>
      <t>t_off</t>
    </r>
    <r>
      <rPr>
        <b/>
        <vertAlign val="subscript"/>
        <sz val="11"/>
        <color indexed="8"/>
        <rFont val="Calibri"/>
        <family val="2"/>
      </rPr>
      <t>MIN</t>
    </r>
  </si>
  <si>
    <t>TCR of RDSon</t>
  </si>
  <si>
    <r>
      <t xml:space="preserve">% / </t>
    </r>
    <r>
      <rPr>
        <sz val="11"/>
        <color indexed="8"/>
        <rFont val="Calibri"/>
        <family val="2"/>
      </rPr>
      <t>°</t>
    </r>
    <r>
      <rPr>
        <sz val="11"/>
        <color theme="1"/>
        <rFont val="Calibri"/>
        <family val="2"/>
        <scheme val="minor"/>
      </rPr>
      <t>C</t>
    </r>
  </si>
  <si>
    <r>
      <rPr>
        <sz val="11"/>
        <color indexed="8"/>
        <rFont val="Calibri"/>
        <family val="2"/>
      </rPr>
      <t>µ</t>
    </r>
    <r>
      <rPr>
        <sz val="11"/>
        <color theme="1"/>
        <rFont val="Calibri"/>
        <family val="2"/>
        <scheme val="minor"/>
      </rPr>
      <t>A/V</t>
    </r>
  </si>
  <si>
    <r>
      <rPr>
        <sz val="11"/>
        <color indexed="8"/>
        <rFont val="Calibri"/>
        <family val="2"/>
      </rPr>
      <t>µ</t>
    </r>
    <r>
      <rPr>
        <sz val="11"/>
        <color theme="1"/>
        <rFont val="Calibri"/>
        <family val="2"/>
        <scheme val="minor"/>
      </rPr>
      <t>A</t>
    </r>
  </si>
  <si>
    <t>RDSon</t>
  </si>
  <si>
    <t>Vo</t>
  </si>
  <si>
    <t>Capacitors</t>
  </si>
  <si>
    <t>Co_tol</t>
  </si>
  <si>
    <r>
      <t>m</t>
    </r>
    <r>
      <rPr>
        <sz val="11"/>
        <color theme="1"/>
        <rFont val="Calibri"/>
        <family val="2"/>
      </rPr>
      <t>Ω</t>
    </r>
  </si>
  <si>
    <t>µF</t>
  </si>
  <si>
    <r>
      <rPr>
        <b/>
        <sz val="11"/>
        <color theme="1"/>
        <rFont val="Calibri"/>
        <family val="2"/>
      </rPr>
      <t>Δ</t>
    </r>
    <r>
      <rPr>
        <b/>
        <sz val="11"/>
        <color theme="1"/>
        <rFont val="Calibri"/>
        <family val="2"/>
        <scheme val="minor"/>
      </rPr>
      <t>Io</t>
    </r>
  </si>
  <si>
    <r>
      <rPr>
        <b/>
        <sz val="11"/>
        <color theme="1"/>
        <rFont val="Calibri"/>
        <family val="2"/>
      </rPr>
      <t>Δ</t>
    </r>
    <r>
      <rPr>
        <b/>
        <sz val="11"/>
        <color theme="1"/>
        <rFont val="Calibri"/>
        <family val="2"/>
        <scheme val="minor"/>
      </rPr>
      <t>Vo</t>
    </r>
  </si>
  <si>
    <t>Based on Kemet data + solder/tracks/vias</t>
  </si>
  <si>
    <t>Based on Murata data</t>
  </si>
  <si>
    <t>Co_num_actual =</t>
  </si>
  <si>
    <t>1x 10uF with DC bias</t>
  </si>
  <si>
    <t>DC bias coefficient</t>
  </si>
  <si>
    <t>Co_tot_min</t>
  </si>
  <si>
    <t>Output Capacitor Characterization:  10uF, 10%, 16V, X7R, 1206</t>
  </si>
  <si>
    <t>Voltage where transient data was obtained</t>
  </si>
  <si>
    <t>Worst case initial tolerance</t>
  </si>
  <si>
    <r>
      <t>f</t>
    </r>
    <r>
      <rPr>
        <b/>
        <vertAlign val="subscript"/>
        <sz val="11"/>
        <color theme="1"/>
        <rFont val="Calibri"/>
        <family val="2"/>
        <scheme val="minor"/>
      </rPr>
      <t>SW</t>
    </r>
  </si>
  <si>
    <t>Switching frequency used during measurement</t>
  </si>
  <si>
    <t>pieces</t>
  </si>
  <si>
    <t>VARIABLES</t>
  </si>
  <si>
    <t>Lo_tolerance</t>
  </si>
  <si>
    <t>RFB2_tolerance</t>
  </si>
  <si>
    <t>RFB1_tolerance</t>
  </si>
  <si>
    <t xml:space="preserve"> Input Capacitor Requirements:</t>
  </si>
  <si>
    <t xml:space="preserve"> Soft Start Capacitor and Timing:</t>
  </si>
  <si>
    <t>Co_num_est</t>
  </si>
  <si>
    <t xml:space="preserve"> Output Inductor Calculations:</t>
  </si>
  <si>
    <r>
      <t>RTH</t>
    </r>
    <r>
      <rPr>
        <b/>
        <vertAlign val="subscript"/>
        <sz val="11"/>
        <color theme="1"/>
        <rFont val="Calibri"/>
        <family val="2"/>
        <scheme val="minor"/>
      </rPr>
      <t>JA</t>
    </r>
  </si>
  <si>
    <r>
      <t xml:space="preserve">Choose C_SS considering </t>
    </r>
    <r>
      <rPr>
        <sz val="11"/>
        <color indexed="8"/>
        <rFont val="Calibri"/>
        <family val="2"/>
      </rPr>
      <t>C_SS_min</t>
    </r>
    <r>
      <rPr>
        <sz val="11"/>
        <color theme="1"/>
        <rFont val="Calibri"/>
        <family val="2"/>
        <scheme val="minor"/>
      </rPr>
      <t>, use next higher standard value</t>
    </r>
  </si>
  <si>
    <r>
      <t>Curve fit, coefficient of V</t>
    </r>
    <r>
      <rPr>
        <vertAlign val="superscript"/>
        <sz val="11"/>
        <color theme="1"/>
        <rFont val="Calibri"/>
        <family val="2"/>
        <scheme val="minor"/>
      </rPr>
      <t>3</t>
    </r>
  </si>
  <si>
    <r>
      <t>Curve fit, coefficient of V</t>
    </r>
    <r>
      <rPr>
        <vertAlign val="superscript"/>
        <sz val="11"/>
        <color theme="1"/>
        <rFont val="Calibri"/>
        <family val="2"/>
        <scheme val="minor"/>
      </rPr>
      <t>2</t>
    </r>
  </si>
  <si>
    <t>Curve fit, coefficient of V</t>
  </si>
  <si>
    <t>Measured transient step current</t>
  </si>
  <si>
    <t>Includes worst case IC &amp; component variations vs. temperature</t>
  </si>
  <si>
    <r>
      <t>Vout</t>
    </r>
    <r>
      <rPr>
        <sz val="11"/>
        <color theme="1"/>
        <rFont val="Calibri"/>
        <family val="2"/>
        <scheme val="minor"/>
      </rPr>
      <t xml:space="preserve">  (min</t>
    </r>
    <r>
      <rPr>
        <sz val="11"/>
        <color theme="1"/>
        <rFont val="Calibri"/>
        <family val="2"/>
      </rPr>
      <t>|</t>
    </r>
    <r>
      <rPr>
        <sz val="11"/>
        <color theme="1"/>
        <rFont val="Calibri"/>
        <family val="2"/>
        <scheme val="minor"/>
      </rPr>
      <t>typ</t>
    </r>
    <r>
      <rPr>
        <sz val="11"/>
        <color theme="1"/>
        <rFont val="Calibri"/>
        <family val="2"/>
      </rPr>
      <t>|</t>
    </r>
    <r>
      <rPr>
        <sz val="11"/>
        <color theme="1"/>
        <rFont val="Calibri"/>
        <family val="2"/>
        <scheme val="minor"/>
      </rPr>
      <t>max)</t>
    </r>
  </si>
  <si>
    <r>
      <t>1% initial tolerance + 100ppm @ 60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>C rise</t>
    </r>
  </si>
  <si>
    <t>UVLO Multiplier</t>
  </si>
  <si>
    <t>Chosen value, allows for margin</t>
  </si>
  <si>
    <r>
      <t>Io</t>
    </r>
    <r>
      <rPr>
        <b/>
        <vertAlign val="subscript"/>
        <sz val="11"/>
        <color theme="1"/>
        <rFont val="Calibri"/>
        <family val="2"/>
        <scheme val="minor"/>
      </rPr>
      <t>MAX</t>
    </r>
  </si>
  <si>
    <t>Maximum current for this design</t>
  </si>
  <si>
    <r>
      <rPr>
        <b/>
        <sz val="11"/>
        <color theme="1"/>
        <rFont val="Calibri"/>
        <family val="2"/>
      </rPr>
      <t>Δ</t>
    </r>
    <r>
      <rPr>
        <b/>
        <sz val="11"/>
        <color theme="1"/>
        <rFont val="Calibri"/>
        <family val="2"/>
        <scheme val="minor"/>
      </rPr>
      <t>Io/Io</t>
    </r>
    <r>
      <rPr>
        <b/>
        <vertAlign val="subscript"/>
        <sz val="11"/>
        <color theme="1"/>
        <rFont val="Calibri"/>
        <family val="2"/>
        <scheme val="minor"/>
      </rPr>
      <t>MAX</t>
    </r>
  </si>
  <si>
    <t>INSTRUCTIONS:   Enter design goals and component values in the white boxes.</t>
  </si>
  <si>
    <t>Transient current =</t>
  </si>
  <si>
    <t>Measured step current as a percent of full load</t>
  </si>
  <si>
    <t>Capacitors used during this measurement</t>
  </si>
  <si>
    <t>Maximum steady-state ambient temperature</t>
  </si>
  <si>
    <t>V  |  µF</t>
  </si>
  <si>
    <r>
      <t>µF/V</t>
    </r>
    <r>
      <rPr>
        <vertAlign val="superscript"/>
        <sz val="11"/>
        <color theme="1"/>
        <rFont val="Calibri"/>
        <family val="2"/>
      </rPr>
      <t>3</t>
    </r>
  </si>
  <si>
    <t>µF/V</t>
  </si>
  <si>
    <r>
      <t>µF/V</t>
    </r>
    <r>
      <rPr>
        <vertAlign val="superscript"/>
        <sz val="11"/>
        <color theme="1"/>
        <rFont val="Calibri"/>
        <family val="2"/>
      </rPr>
      <t>2</t>
    </r>
  </si>
  <si>
    <t>Curve fit, coefficient of 0V</t>
  </si>
  <si>
    <t>Calculated total output capacitance with tolerance and real DC bias</t>
  </si>
  <si>
    <t>INSTRUCTIONS:  No values need to be entered here, all values are derived from the DESIGN tab</t>
  </si>
  <si>
    <t xml:space="preserve"> Typical &amp; Worst Case Output Voltage Calculations:</t>
  </si>
  <si>
    <t>These values are all derived from the data sheet or lab measurements.</t>
  </si>
  <si>
    <r>
      <t>V</t>
    </r>
    <r>
      <rPr>
        <b/>
        <vertAlign val="subscript"/>
        <sz val="11"/>
        <color theme="1"/>
        <rFont val="Calibri"/>
        <family val="2"/>
        <scheme val="minor"/>
      </rPr>
      <t>GS</t>
    </r>
  </si>
  <si>
    <t>Measured value, see LX curve to the right</t>
  </si>
  <si>
    <r>
      <t>Cin_I</t>
    </r>
    <r>
      <rPr>
        <b/>
        <vertAlign val="subscript"/>
        <sz val="11"/>
        <color theme="1"/>
        <rFont val="Calibri"/>
        <family val="2"/>
        <scheme val="minor"/>
      </rPr>
      <t>RMS</t>
    </r>
  </si>
  <si>
    <r>
      <rPr>
        <i/>
        <sz val="11"/>
        <color theme="0"/>
        <rFont val="Calibri"/>
        <family val="2"/>
      </rPr>
      <t xml:space="preserve">**** Note:  The applications schematic is shown at the bottom of this TAB. ****
Schematic component values are shown in </t>
    </r>
    <r>
      <rPr>
        <b/>
        <i/>
        <sz val="11"/>
        <color rgb="FF0000FF"/>
        <rFont val="Calibri"/>
        <family val="2"/>
      </rPr>
      <t>BLUE</t>
    </r>
    <r>
      <rPr>
        <b/>
        <i/>
        <sz val="11"/>
        <color theme="1"/>
        <rFont val="Calibri"/>
        <family val="2"/>
      </rPr>
      <t>.</t>
    </r>
  </si>
  <si>
    <r>
      <t>R</t>
    </r>
    <r>
      <rPr>
        <b/>
        <vertAlign val="subscript"/>
        <sz val="11"/>
        <color rgb="FF0000FF"/>
        <rFont val="Calibri"/>
        <family val="2"/>
        <scheme val="minor"/>
      </rPr>
      <t>FSET</t>
    </r>
  </si>
  <si>
    <r>
      <rPr>
        <b/>
        <sz val="11"/>
        <color rgb="FF0000FF"/>
        <rFont val="Calibri"/>
        <family val="2"/>
      </rPr>
      <t>µ</t>
    </r>
    <r>
      <rPr>
        <b/>
        <sz val="11"/>
        <color rgb="FF0000FF"/>
        <rFont val="Calibri"/>
        <family val="2"/>
        <scheme val="minor"/>
      </rPr>
      <t>H</t>
    </r>
  </si>
  <si>
    <r>
      <rPr>
        <b/>
        <sz val="11"/>
        <color rgb="FF0000FF"/>
        <rFont val="Calibri"/>
        <family val="2"/>
      </rPr>
      <t>µ</t>
    </r>
    <r>
      <rPr>
        <b/>
        <sz val="11"/>
        <color rgb="FF0000FF"/>
        <rFont val="Calibri"/>
        <family val="2"/>
        <scheme val="minor"/>
      </rPr>
      <t>F</t>
    </r>
  </si>
  <si>
    <r>
      <t xml:space="preserve">Choose the number of </t>
    </r>
    <r>
      <rPr>
        <b/>
        <sz val="11"/>
        <color rgb="FF0000FF"/>
        <rFont val="Calibri"/>
        <family val="2"/>
        <scheme val="minor"/>
      </rPr>
      <t>10uF/16V/X7R/1206</t>
    </r>
    <r>
      <rPr>
        <sz val="11"/>
        <color theme="1"/>
        <rFont val="Calibri"/>
        <family val="2"/>
        <scheme val="minor"/>
      </rPr>
      <t xml:space="preserve"> output capacitors</t>
    </r>
  </si>
  <si>
    <t>IQ</t>
  </si>
  <si>
    <r>
      <t>P</t>
    </r>
    <r>
      <rPr>
        <b/>
        <vertAlign val="subscript"/>
        <sz val="10"/>
        <rFont val="Arial"/>
        <family val="2"/>
      </rPr>
      <t>DRIVER</t>
    </r>
  </si>
  <si>
    <t>Choose Fsw</t>
  </si>
  <si>
    <t>Fsw</t>
  </si>
  <si>
    <t>UVLO Stop</t>
  </si>
  <si>
    <r>
      <t>m</t>
    </r>
    <r>
      <rPr>
        <b/>
        <sz val="11"/>
        <rFont val="Calibri"/>
        <family val="2"/>
      </rPr>
      <t>Ω</t>
    </r>
  </si>
  <si>
    <r>
      <t>Lo</t>
    </r>
    <r>
      <rPr>
        <b/>
        <vertAlign val="subscript"/>
        <sz val="11"/>
        <rFont val="Calibri"/>
        <family val="2"/>
        <scheme val="minor"/>
      </rPr>
      <t>DCR</t>
    </r>
    <r>
      <rPr>
        <b/>
        <sz val="11"/>
        <rFont val="Calibri"/>
        <family val="2"/>
        <scheme val="minor"/>
      </rPr>
      <t xml:space="preserve"> = </t>
    </r>
  </si>
  <si>
    <r>
      <t>Enter the output inductor's DCR, default is 35m</t>
    </r>
    <r>
      <rPr>
        <sz val="11"/>
        <rFont val="Calibri"/>
        <family val="2"/>
      </rPr>
      <t>Ω if left blank</t>
    </r>
  </si>
  <si>
    <r>
      <t>Lo</t>
    </r>
    <r>
      <rPr>
        <b/>
        <vertAlign val="subscript"/>
        <sz val="11"/>
        <color theme="1"/>
        <rFont val="Calibri"/>
        <family val="2"/>
        <scheme val="minor"/>
      </rPr>
      <t>DCR</t>
    </r>
  </si>
  <si>
    <t>Default DCR of the output inductor</t>
  </si>
  <si>
    <t>T (°C)</t>
  </si>
  <si>
    <t>Snubber Component Calculations:</t>
  </si>
  <si>
    <t>Capacitance of D1</t>
  </si>
  <si>
    <t>Measured LX resonant freqeuncy</t>
  </si>
  <si>
    <r>
      <t>L</t>
    </r>
    <r>
      <rPr>
        <b/>
        <vertAlign val="subscript"/>
        <sz val="11"/>
        <color theme="1"/>
        <rFont val="Calibri"/>
        <family val="2"/>
        <scheme val="minor"/>
      </rPr>
      <t>EQ</t>
    </r>
  </si>
  <si>
    <r>
      <t>LX resonance, F</t>
    </r>
    <r>
      <rPr>
        <b/>
        <vertAlign val="subscript"/>
        <sz val="11"/>
        <color theme="1"/>
        <rFont val="Calibri"/>
        <family val="2"/>
        <scheme val="minor"/>
      </rPr>
      <t>LX</t>
    </r>
  </si>
  <si>
    <r>
      <t>P</t>
    </r>
    <r>
      <rPr>
        <vertAlign val="subscript"/>
        <sz val="11"/>
        <color theme="1"/>
        <rFont val="Calibri"/>
        <family val="2"/>
        <scheme val="minor"/>
      </rPr>
      <t>SNUB</t>
    </r>
  </si>
  <si>
    <t>LX resonance period</t>
  </si>
  <si>
    <r>
      <t>LX resonance, T</t>
    </r>
    <r>
      <rPr>
        <b/>
        <vertAlign val="subscript"/>
        <sz val="11"/>
        <color theme="1"/>
        <rFont val="Calibri"/>
        <family val="2"/>
        <scheme val="minor"/>
      </rPr>
      <t>LX</t>
    </r>
  </si>
  <si>
    <t>mW</t>
  </si>
  <si>
    <t>Snubber resistance, use the closest available standard value</t>
  </si>
  <si>
    <t>Snubber capacitance, use the closest available standard value</t>
  </si>
  <si>
    <r>
      <t>Equivalent inductance, given F</t>
    </r>
    <r>
      <rPr>
        <vertAlign val="subscript"/>
        <sz val="11"/>
        <color theme="1"/>
        <rFont val="Calibri"/>
        <family val="2"/>
        <scheme val="minor"/>
      </rPr>
      <t>LX</t>
    </r>
    <r>
      <rPr>
        <sz val="11"/>
        <color theme="1"/>
        <rFont val="Calibri"/>
        <family val="2"/>
        <scheme val="minor"/>
      </rPr>
      <t xml:space="preserve"> and C</t>
    </r>
    <r>
      <rPr>
        <vertAlign val="subscript"/>
        <sz val="11"/>
        <color theme="1"/>
        <rFont val="Calibri"/>
        <family val="2"/>
        <scheme val="minor"/>
      </rPr>
      <t>TOTAL</t>
    </r>
  </si>
  <si>
    <t>Start with 2.5, decrease for more damping</t>
  </si>
  <si>
    <r>
      <t xml:space="preserve">Snubber </t>
    </r>
    <r>
      <rPr>
        <b/>
        <sz val="11"/>
        <color theme="1"/>
        <rFont val="Calibri"/>
        <family val="2"/>
      </rPr>
      <t>‒</t>
    </r>
    <r>
      <rPr>
        <b/>
        <sz val="11"/>
        <color theme="1"/>
        <rFont val="Calibri"/>
        <family val="2"/>
        <scheme val="minor"/>
      </rPr>
      <t>3dB freq.</t>
    </r>
  </si>
  <si>
    <r>
      <t>Snubber resistor power requirement at Vin</t>
    </r>
    <r>
      <rPr>
        <vertAlign val="subscript"/>
        <sz val="11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 xml:space="preserve"> and Fsw</t>
    </r>
  </si>
  <si>
    <t>Capacitance, other</t>
  </si>
  <si>
    <t>Estimated FET + PCB trace capacitance</t>
  </si>
  <si>
    <t>TCR of Copper</t>
  </si>
  <si>
    <r>
      <t>%/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>C</t>
    </r>
  </si>
  <si>
    <r>
      <rPr>
        <b/>
        <sz val="10"/>
        <rFont val="Calibri"/>
        <family val="2"/>
      </rPr>
      <t>Δ</t>
    </r>
    <r>
      <rPr>
        <b/>
        <sz val="10"/>
        <rFont val="Arial"/>
        <family val="2"/>
      </rPr>
      <t>IL</t>
    </r>
  </si>
  <si>
    <t>VF</t>
  </si>
  <si>
    <t>Typical LX frequency measurement before snubber</t>
  </si>
  <si>
    <r>
      <t>Multiple of F</t>
    </r>
    <r>
      <rPr>
        <vertAlign val="subscript"/>
        <sz val="11"/>
        <color theme="1"/>
        <rFont val="Calibri"/>
        <family val="2"/>
      </rPr>
      <t>LX</t>
    </r>
  </si>
  <si>
    <t>Known value, used for inductor DCR</t>
  </si>
  <si>
    <t>A   |   VF</t>
  </si>
  <si>
    <t>mV/°C</t>
  </si>
  <si>
    <t>EFF</t>
  </si>
  <si>
    <t>VF1</t>
  </si>
  <si>
    <t>VF2</t>
  </si>
  <si>
    <t>VF3</t>
  </si>
  <si>
    <r>
      <t>P</t>
    </r>
    <r>
      <rPr>
        <b/>
        <vertAlign val="subscript"/>
        <sz val="10"/>
        <rFont val="Arial"/>
        <family val="2"/>
      </rPr>
      <t>IC</t>
    </r>
  </si>
  <si>
    <r>
      <t>P</t>
    </r>
    <r>
      <rPr>
        <b/>
        <vertAlign val="subscript"/>
        <sz val="10"/>
        <rFont val="Arial"/>
        <family val="2"/>
      </rPr>
      <t>D1</t>
    </r>
  </si>
  <si>
    <r>
      <t>P</t>
    </r>
    <r>
      <rPr>
        <b/>
        <vertAlign val="subscript"/>
        <sz val="10"/>
        <rFont val="Arial"/>
        <family val="2"/>
      </rPr>
      <t>IND</t>
    </r>
  </si>
  <si>
    <r>
      <t>P</t>
    </r>
    <r>
      <rPr>
        <b/>
        <vertAlign val="subscript"/>
        <sz val="10"/>
        <rFont val="Arial"/>
        <family val="2"/>
      </rPr>
      <t>OUT</t>
    </r>
  </si>
  <si>
    <t>Value from the data sheet for D1: VF at 200mA</t>
  </si>
  <si>
    <t>Value from the data sheet for D1: VF at 2A</t>
  </si>
  <si>
    <t>Value from the data sheet for D1: VF at 4A</t>
  </si>
  <si>
    <r>
      <t>R</t>
    </r>
    <r>
      <rPr>
        <b/>
        <vertAlign val="subscript"/>
        <sz val="11"/>
        <color theme="1"/>
        <rFont val="Calibri"/>
        <family val="2"/>
        <scheme val="minor"/>
      </rPr>
      <t>SNUB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</si>
  <si>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SNUB</t>
    </r>
  </si>
  <si>
    <t>Enter the snubber resister value</t>
  </si>
  <si>
    <r>
      <t>R</t>
    </r>
    <r>
      <rPr>
        <b/>
        <vertAlign val="subscript"/>
        <sz val="11"/>
        <color rgb="FF0000FF"/>
        <rFont val="Calibri"/>
        <family val="2"/>
        <scheme val="minor"/>
      </rPr>
      <t>SNUB</t>
    </r>
    <r>
      <rPr>
        <b/>
        <sz val="11"/>
        <color rgb="FF0000FF"/>
        <rFont val="Calibri"/>
        <family val="2"/>
        <scheme val="minor"/>
      </rPr>
      <t xml:space="preserve"> = </t>
    </r>
  </si>
  <si>
    <r>
      <t>C</t>
    </r>
    <r>
      <rPr>
        <b/>
        <vertAlign val="subscript"/>
        <sz val="11"/>
        <color rgb="FF0000FF"/>
        <rFont val="Calibri"/>
        <family val="2"/>
        <scheme val="minor"/>
      </rPr>
      <t>SNUB</t>
    </r>
    <r>
      <rPr>
        <b/>
        <sz val="11"/>
        <color rgb="FF0000FF"/>
        <rFont val="Calibri"/>
        <family val="2"/>
        <scheme val="minor"/>
      </rPr>
      <t xml:space="preserve"> = </t>
    </r>
  </si>
  <si>
    <r>
      <t>P</t>
    </r>
    <r>
      <rPr>
        <b/>
        <vertAlign val="subscript"/>
        <sz val="10"/>
        <rFont val="Arial"/>
        <family val="2"/>
      </rPr>
      <t>SNUB</t>
    </r>
  </si>
  <si>
    <t>Vin =</t>
  </si>
  <si>
    <r>
      <t xml:space="preserve"> Feedback Component Calculations  </t>
    </r>
    <r>
      <rPr>
        <b/>
        <i/>
        <sz val="12"/>
        <color rgb="FFFF0000"/>
        <rFont val="Calibri"/>
        <family val="2"/>
        <scheme val="minor"/>
      </rPr>
      <t xml:space="preserve">(Must enter </t>
    </r>
    <r>
      <rPr>
        <b/>
        <i/>
        <sz val="12"/>
        <color rgb="FF0000FF"/>
        <rFont val="Calibri"/>
        <family val="2"/>
        <scheme val="minor"/>
      </rPr>
      <t>RFB1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rgb="FFFF0000"/>
        <rFont val="Calibri"/>
        <family val="2"/>
        <scheme val="minor"/>
      </rPr>
      <t>and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rgb="FF0000FF"/>
        <rFont val="Calibri"/>
        <family val="2"/>
        <scheme val="minor"/>
      </rPr>
      <t>RFB2</t>
    </r>
    <r>
      <rPr>
        <b/>
        <i/>
        <sz val="12"/>
        <color rgb="FFFF0000"/>
        <rFont val="Calibri"/>
        <family val="2"/>
        <scheme val="minor"/>
      </rPr>
      <t xml:space="preserve"> values for the remaining calculations to be accurate)</t>
    </r>
  </si>
  <si>
    <r>
      <t>TJ</t>
    </r>
    <r>
      <rPr>
        <b/>
        <vertAlign val="subscript"/>
        <sz val="10"/>
        <rFont val="Arial"/>
        <family val="2"/>
      </rPr>
      <t>IC</t>
    </r>
  </si>
  <si>
    <t>Estimated value from the data sheet for D1</t>
  </si>
  <si>
    <t>VF, Temp. Coeff.</t>
  </si>
  <si>
    <r>
      <t>RTH</t>
    </r>
    <r>
      <rPr>
        <b/>
        <vertAlign val="subscript"/>
        <sz val="11"/>
        <color theme="1"/>
        <rFont val="Calibri"/>
        <family val="2"/>
        <scheme val="minor"/>
      </rPr>
      <t>AVG</t>
    </r>
  </si>
  <si>
    <t>Value from the data sheet for D1 (average of min/max)</t>
  </si>
  <si>
    <t>Enter the snubber capacitor value, enter "0" if no snubber is used</t>
  </si>
  <si>
    <t>Measured on Allegro EVB with 1x 10uF</t>
  </si>
  <si>
    <t>Thermal resistance</t>
  </si>
  <si>
    <r>
      <t>Slope Comp (S</t>
    </r>
    <r>
      <rPr>
        <b/>
        <vertAlign val="subscript"/>
        <sz val="11"/>
        <color theme="1"/>
        <rFont val="Calibri"/>
        <family val="2"/>
        <scheme val="minor"/>
      </rPr>
      <t>E</t>
    </r>
    <r>
      <rPr>
        <b/>
        <sz val="11"/>
        <color theme="1"/>
        <rFont val="Calibri"/>
        <family val="2"/>
        <scheme val="minor"/>
      </rPr>
      <t>)</t>
    </r>
  </si>
  <si>
    <t>Data sheet values;</t>
  </si>
  <si>
    <t xml:space="preserve"> Error Amplifier Compensation Components:</t>
  </si>
  <si>
    <t>Recommended maximum 0dB crossover frequency</t>
  </si>
  <si>
    <r>
      <t>Dominant pole formed by Co and R</t>
    </r>
    <r>
      <rPr>
        <vertAlign val="subscript"/>
        <sz val="11"/>
        <color theme="1"/>
        <rFont val="Calibri"/>
        <family val="2"/>
        <scheme val="minor"/>
      </rPr>
      <t>LOAD</t>
    </r>
    <r>
      <rPr>
        <sz val="11"/>
        <color theme="1"/>
        <rFont val="Calibri"/>
        <family val="2"/>
        <scheme val="minor"/>
      </rPr>
      <t>.</t>
    </r>
  </si>
  <si>
    <r>
      <t xml:space="preserve"> Output Capacitance (Co) and Output Voltage Ripple (</t>
    </r>
    <r>
      <rPr>
        <b/>
        <sz val="12"/>
        <color theme="1"/>
        <rFont val="Calibri"/>
        <family val="2"/>
      </rPr>
      <t>Δ</t>
    </r>
    <r>
      <rPr>
        <b/>
        <i/>
        <sz val="12"/>
        <color theme="1"/>
        <rFont val="Calibri"/>
        <family val="2"/>
        <scheme val="minor"/>
      </rPr>
      <t>Vout):</t>
    </r>
  </si>
  <si>
    <t>Recommended HF compensation capacitor</t>
  </si>
  <si>
    <t>Cz (min, max)</t>
  </si>
  <si>
    <r>
      <t xml:space="preserve">Choose fc considering recommended </t>
    </r>
    <r>
      <rPr>
        <sz val="11"/>
        <color indexed="8"/>
        <rFont val="Calibri"/>
        <family val="2"/>
      </rPr>
      <t>fc</t>
    </r>
    <r>
      <rPr>
        <vertAlign val="subscript"/>
        <sz val="11"/>
        <color indexed="8"/>
        <rFont val="Calibri"/>
        <family val="2"/>
      </rPr>
      <t>MAX</t>
    </r>
  </si>
  <si>
    <t>Recommended compensation resister to achieve chosen fc</t>
  </si>
  <si>
    <t>Enter the closest available 1% standard resister value</t>
  </si>
  <si>
    <r>
      <t>mV</t>
    </r>
    <r>
      <rPr>
        <vertAlign val="subscript"/>
        <sz val="11"/>
        <color theme="1"/>
        <rFont val="Calibri"/>
        <family val="2"/>
        <scheme val="minor"/>
      </rPr>
      <t>PP, MAX</t>
    </r>
  </si>
  <si>
    <t>Vin operating range</t>
  </si>
  <si>
    <t>Calculated Slope Compensation at chosen Fsw:</t>
  </si>
  <si>
    <r>
      <t>S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@ Fsw =</t>
    </r>
  </si>
  <si>
    <r>
      <t>A/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s</t>
    </r>
  </si>
  <si>
    <r>
      <t xml:space="preserve">       Diode D1: Example of Capacitance vs. V</t>
    </r>
    <r>
      <rPr>
        <b/>
        <vertAlign val="subscript"/>
        <sz val="11"/>
        <color theme="1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 xml:space="preserve"> for SS2P4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</si>
  <si>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Buck0</t>
    </r>
  </si>
  <si>
    <t xml:space="preserve"> Output Voltage Range Resistor Calculations:</t>
  </si>
  <si>
    <r>
      <t>R</t>
    </r>
    <r>
      <rPr>
        <b/>
        <vertAlign val="subscript"/>
        <sz val="11"/>
        <color theme="1"/>
        <rFont val="Calibri"/>
        <family val="2"/>
        <scheme val="minor"/>
      </rPr>
      <t>NG</t>
    </r>
    <r>
      <rPr>
        <b/>
        <sz val="11"/>
        <color theme="1"/>
        <rFont val="Calibri"/>
        <family val="2"/>
        <scheme val="minor"/>
      </rPr>
      <t>_calc(k</t>
    </r>
    <r>
      <rPr>
        <b/>
        <sz val="11"/>
        <color theme="1"/>
        <rFont val="Calibri"/>
        <family val="2"/>
      </rPr>
      <t>Ω)</t>
    </r>
  </si>
  <si>
    <r>
      <t>R</t>
    </r>
    <r>
      <rPr>
        <b/>
        <vertAlign val="subscript"/>
        <sz val="11"/>
        <color rgb="FF0000FF"/>
        <rFont val="Calibri"/>
        <family val="2"/>
        <scheme val="minor"/>
      </rPr>
      <t xml:space="preserve">NG </t>
    </r>
    <r>
      <rPr>
        <b/>
        <sz val="11"/>
        <color rgb="FF0000FF"/>
        <rFont val="Calibri"/>
        <family val="2"/>
        <scheme val="minor"/>
      </rPr>
      <t>(k</t>
    </r>
    <r>
      <rPr>
        <b/>
        <sz val="11"/>
        <color rgb="FF0000FF"/>
        <rFont val="Calibri"/>
        <family val="2"/>
      </rPr>
      <t>Ω)=</t>
    </r>
  </si>
  <si>
    <t>Recommended FB resistor from Vout to VFB</t>
  </si>
  <si>
    <t>Choose a standard resistor value, or combination of values</t>
  </si>
  <si>
    <t>Recommended FB resistor from VFB to GND</t>
  </si>
  <si>
    <r>
      <t>Range resistor between RNG pin and GND given D</t>
    </r>
    <r>
      <rPr>
        <vertAlign val="subscript"/>
        <sz val="11"/>
        <color theme="1"/>
        <rFont val="Calibri"/>
        <family val="2"/>
        <scheme val="minor"/>
      </rPr>
      <t>Buck0</t>
    </r>
    <r>
      <rPr>
        <sz val="11"/>
        <color theme="1"/>
        <rFont val="Calibri"/>
        <family val="2"/>
        <scheme val="minor"/>
      </rPr>
      <t>, targeted V</t>
    </r>
    <r>
      <rPr>
        <vertAlign val="subscript"/>
        <sz val="11"/>
        <color theme="1"/>
        <rFont val="Calibri"/>
        <family val="2"/>
        <scheme val="minor"/>
      </rPr>
      <t>OUT</t>
    </r>
  </si>
  <si>
    <r>
      <t>Choose a standard R</t>
    </r>
    <r>
      <rPr>
        <vertAlign val="subscript"/>
        <sz val="11"/>
        <color theme="1"/>
        <rFont val="Calibri"/>
        <family val="2"/>
        <scheme val="minor"/>
      </rPr>
      <t>NG</t>
    </r>
    <r>
      <rPr>
        <sz val="11"/>
        <color theme="1"/>
        <rFont val="Calibri"/>
        <family val="2"/>
        <scheme val="minor"/>
      </rPr>
      <t xml:space="preserve"> resistor value</t>
    </r>
  </si>
  <si>
    <t>kΩ</t>
  </si>
  <si>
    <r>
      <t>V</t>
    </r>
    <r>
      <rPr>
        <b/>
        <vertAlign val="subscript"/>
        <sz val="11"/>
        <color theme="1"/>
        <rFont val="Calibri"/>
        <family val="2"/>
        <scheme val="minor"/>
      </rPr>
      <t>IN_mode</t>
    </r>
    <r>
      <rPr>
        <b/>
        <sz val="11"/>
        <color theme="1"/>
        <rFont val="Calibri"/>
        <family val="2"/>
        <scheme val="minor"/>
      </rPr>
      <t xml:space="preserve"> </t>
    </r>
  </si>
  <si>
    <t>Input Voltage at Buck and Buck-Boost mode transition</t>
  </si>
  <si>
    <t xml:space="preserve"> Switching Frequency and Frequency-setting Resistor Determination:</t>
  </si>
  <si>
    <r>
      <t xml:space="preserve">Lo </t>
    </r>
    <r>
      <rPr>
        <b/>
        <sz val="11"/>
        <color theme="1"/>
        <rFont val="Calibri"/>
        <family val="2"/>
      </rPr>
      <t>≥</t>
    </r>
  </si>
  <si>
    <t>ILo_buckboost_peak</t>
  </si>
  <si>
    <t>ILo_buck_peak</t>
  </si>
  <si>
    <r>
      <t>Inductor range, based on the criteria of I</t>
    </r>
    <r>
      <rPr>
        <vertAlign val="subscript"/>
        <sz val="11"/>
        <color theme="1"/>
        <rFont val="Calibri"/>
        <family val="2"/>
        <scheme val="minor"/>
      </rPr>
      <t>Lo</t>
    </r>
    <r>
      <rPr>
        <sz val="11"/>
        <color theme="1"/>
        <rFont val="Calibri"/>
        <family val="2"/>
        <scheme val="minor"/>
      </rPr>
      <t xml:space="preserve"> down slopes</t>
    </r>
  </si>
  <si>
    <r>
      <t>Δ</t>
    </r>
    <r>
      <rPr>
        <b/>
        <sz val="11"/>
        <color indexed="8"/>
        <rFont val="Calibri"/>
        <family val="2"/>
      </rPr>
      <t>ILo, target</t>
    </r>
  </si>
  <si>
    <r>
      <t>% of Iout</t>
    </r>
    <r>
      <rPr>
        <vertAlign val="subscript"/>
        <sz val="11"/>
        <color indexed="8"/>
        <rFont val="Calibri"/>
        <family val="2"/>
      </rPr>
      <t>MAX</t>
    </r>
  </si>
  <si>
    <t>Lo ≥</t>
  </si>
  <si>
    <t>Lo calculation at typical Vin, Vout for Buck mode</t>
  </si>
  <si>
    <t>Inductor value for selected typical ripple current at Buck mode</t>
  </si>
  <si>
    <t>Peak inductor current at max Vin at Buck mode</t>
  </si>
  <si>
    <t>Peak inductor current at min Vin at Buck-Boost mode</t>
  </si>
  <si>
    <r>
      <t>D</t>
    </r>
    <r>
      <rPr>
        <b/>
        <vertAlign val="subscript"/>
        <sz val="11"/>
        <color theme="1"/>
        <rFont val="Calibri"/>
        <family val="2"/>
        <scheme val="minor"/>
      </rPr>
      <t>Boost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</si>
  <si>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</rPr>
      <t>ΔV</t>
    </r>
    <r>
      <rPr>
        <b/>
        <sz val="11"/>
        <color theme="1"/>
        <rFont val="Calibri"/>
        <family val="2"/>
        <scheme val="minor"/>
      </rPr>
      <t xml:space="preserve">out </t>
    </r>
  </si>
  <si>
    <t xml:space="preserve">Maximum output voltage ripple </t>
  </si>
  <si>
    <t xml:space="preserve"> Buck and Boost Diodes (D1,D2) Requirements:</t>
  </si>
  <si>
    <r>
      <t>I</t>
    </r>
    <r>
      <rPr>
        <b/>
        <vertAlign val="subscript"/>
        <sz val="11"/>
        <color rgb="FF0000FF"/>
        <rFont val="Calibri"/>
        <family val="2"/>
        <scheme val="minor"/>
      </rPr>
      <t>F,AVG</t>
    </r>
  </si>
  <si>
    <t>SS_Offset</t>
  </si>
  <si>
    <t>kHz</t>
  </si>
  <si>
    <t xml:space="preserve">Load </t>
  </si>
  <si>
    <t>ALLEGRO A4450 DESIGN SPREADSHEET</t>
  </si>
  <si>
    <r>
      <t>Estimated Buck diode D1 capacitance at Vin</t>
    </r>
    <r>
      <rPr>
        <vertAlign val="subscript"/>
        <sz val="11"/>
        <color theme="1"/>
        <rFont val="Calibri"/>
        <family val="2"/>
        <scheme val="minor"/>
      </rPr>
      <t>TYP</t>
    </r>
  </si>
  <si>
    <t>D_buck</t>
  </si>
  <si>
    <t>D_boost</t>
  </si>
  <si>
    <t>Pin_b</t>
  </si>
  <si>
    <r>
      <t>P</t>
    </r>
    <r>
      <rPr>
        <b/>
        <vertAlign val="subscript"/>
        <sz val="10"/>
        <rFont val="Arial"/>
        <family val="2"/>
      </rPr>
      <t>DIS</t>
    </r>
  </si>
  <si>
    <t>Buck</t>
  </si>
  <si>
    <t>Boost</t>
  </si>
  <si>
    <t>RDSon_boost @ 25C</t>
  </si>
  <si>
    <t>Qg_buck</t>
  </si>
  <si>
    <t>Qg_boost</t>
  </si>
  <si>
    <r>
      <t>P</t>
    </r>
    <r>
      <rPr>
        <b/>
        <vertAlign val="subscript"/>
        <sz val="10"/>
        <rFont val="Arial"/>
        <family val="2"/>
      </rPr>
      <t>D2</t>
    </r>
  </si>
  <si>
    <t>Snubber</t>
  </si>
  <si>
    <t>Snubber? 0 - No Snubber</t>
  </si>
  <si>
    <t>1- Yes, Snubber</t>
  </si>
  <si>
    <r>
      <t>ILIM</t>
    </r>
    <r>
      <rPr>
        <vertAlign val="subscript"/>
        <sz val="11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 xml:space="preserve"> at Buck mode</t>
    </r>
  </si>
  <si>
    <r>
      <t>ILIM</t>
    </r>
    <r>
      <rPr>
        <vertAlign val="subscript"/>
        <sz val="11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 xml:space="preserve"> at Buck-boost mode</t>
    </r>
  </si>
  <si>
    <r>
      <t>I</t>
    </r>
    <r>
      <rPr>
        <b/>
        <vertAlign val="subscript"/>
        <sz val="11"/>
        <color theme="1"/>
        <rFont val="Calibri"/>
        <family val="2"/>
        <scheme val="minor"/>
      </rPr>
      <t>LIM(Buck)</t>
    </r>
  </si>
  <si>
    <r>
      <t>I</t>
    </r>
    <r>
      <rPr>
        <b/>
        <vertAlign val="subscript"/>
        <sz val="11"/>
        <color theme="1"/>
        <rFont val="Calibri"/>
        <family val="2"/>
        <scheme val="minor"/>
      </rPr>
      <t>LIM(BuckBoost)</t>
    </r>
  </si>
  <si>
    <r>
      <t>ILIM</t>
    </r>
    <r>
      <rPr>
        <b/>
        <vertAlign val="subscript"/>
        <sz val="11"/>
        <color indexed="8"/>
        <rFont val="Calibri"/>
        <family val="2"/>
      </rPr>
      <t>Margin_Buck</t>
    </r>
  </si>
  <si>
    <r>
      <t>I</t>
    </r>
    <r>
      <rPr>
        <b/>
        <vertAlign val="subscript"/>
        <sz val="11"/>
        <color indexed="8"/>
        <rFont val="Calibri"/>
        <family val="2"/>
      </rPr>
      <t>LIMMargin_BuckBoost</t>
    </r>
  </si>
  <si>
    <t>Current margin before min Buck-mode current limit</t>
  </si>
  <si>
    <t>Current margin before min Buck-Boost mode current limit</t>
  </si>
  <si>
    <t xml:space="preserve">Enter Lo. </t>
  </si>
  <si>
    <t>RDSon_buck @ 25C</t>
  </si>
  <si>
    <t>Targeted output voltage</t>
  </si>
  <si>
    <t>Recommended range for the compensation capacitor: higher helps stability; lower helps transient</t>
  </si>
  <si>
    <t>Ilpk</t>
  </si>
  <si>
    <t>VF_Boot</t>
  </si>
  <si>
    <r>
      <t>P</t>
    </r>
    <r>
      <rPr>
        <b/>
        <vertAlign val="subscript"/>
        <sz val="10"/>
        <rFont val="Arial"/>
        <family val="2"/>
      </rPr>
      <t>DBoot</t>
    </r>
  </si>
  <si>
    <t xml:space="preserve">       Diode D1, D2 SS3P4:  Example I-V Characteristics</t>
  </si>
  <si>
    <t xml:space="preserve">Selected Boost switch RDSon value </t>
  </si>
  <si>
    <t xml:space="preserve">Selected Boost switch Qg value </t>
  </si>
  <si>
    <t>Boost MOSFET  (Q2) Parameters</t>
  </si>
  <si>
    <t>Buck and Boost diode (D1,D2) Parameters</t>
  </si>
  <si>
    <t>Forward voltage of D1 and D2 at rated current</t>
  </si>
  <si>
    <t>Boot diode Parameters</t>
  </si>
  <si>
    <t>Dbk_crt</t>
  </si>
  <si>
    <t>Io_crt</t>
  </si>
  <si>
    <t>CCM</t>
  </si>
  <si>
    <t>DCM</t>
  </si>
  <si>
    <t>Ipk1_crt</t>
  </si>
  <si>
    <t>Ipk2_crt</t>
  </si>
  <si>
    <r>
      <t>Transient load step current as a percent of Iout</t>
    </r>
    <r>
      <rPr>
        <vertAlign val="subscript"/>
        <sz val="11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>.  ~50% suggested.</t>
    </r>
  </si>
  <si>
    <t>Estimated # of 10uF/16V/X7R/1206 output capacitor for load transient</t>
  </si>
  <si>
    <t>Recommened minimum current rating of the buck and boost diodes</t>
  </si>
  <si>
    <r>
      <t>D</t>
    </r>
    <r>
      <rPr>
        <b/>
        <vertAlign val="subscript"/>
        <sz val="11"/>
        <color theme="1"/>
        <rFont val="Calibri"/>
        <family val="2"/>
        <scheme val="minor"/>
      </rPr>
      <t>Boost(MAX)</t>
    </r>
    <r>
      <rPr>
        <b/>
        <sz val="11"/>
        <color theme="1"/>
        <rFont val="Calibri"/>
        <family val="2"/>
        <scheme val="minor"/>
      </rPr>
      <t xml:space="preserve"> 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</si>
  <si>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Buck</t>
    </r>
  </si>
  <si>
    <t xml:space="preserve">Calculated Boost duty cycle at typical Vin </t>
  </si>
  <si>
    <r>
      <t xml:space="preserve">   Maximum Boost duty cycle at min Vin for the chosen R</t>
    </r>
    <r>
      <rPr>
        <vertAlign val="subscript"/>
        <sz val="11"/>
        <color theme="1"/>
        <rFont val="Calibri"/>
        <family val="2"/>
        <scheme val="minor"/>
      </rPr>
      <t xml:space="preserve">NG </t>
    </r>
    <r>
      <rPr>
        <sz val="11"/>
        <color theme="1"/>
        <rFont val="Calibri"/>
        <family val="2"/>
        <scheme val="minor"/>
      </rPr>
      <t>in Buck-Boost 
   mode; should be less than Buck duty cycle in the same mode</t>
    </r>
  </si>
  <si>
    <t xml:space="preserve"> </t>
  </si>
  <si>
    <t>Boot diode's forward voltage if used</t>
  </si>
  <si>
    <t>Calculated Buck duty cycle at typical Vin; must be within min and max Buck Duty cycle limits</t>
  </si>
  <si>
    <t>Mode</t>
  </si>
  <si>
    <t>Dbuck at Vin</t>
  </si>
  <si>
    <t>Dboost at Vin</t>
  </si>
  <si>
    <t>ambient</t>
  </si>
  <si>
    <t>Current limit (A)</t>
  </si>
  <si>
    <t>ILpk (A)</t>
  </si>
  <si>
    <t>Vin (V)</t>
  </si>
  <si>
    <t>P_IC (W)</t>
  </si>
  <si>
    <t>P_driver (W)</t>
  </si>
  <si>
    <t>Psw_buck (W)</t>
  </si>
  <si>
    <t>Pcond_buck (W)</t>
  </si>
  <si>
    <t>Max Buck</t>
  </si>
  <si>
    <t>Vin range</t>
  </si>
  <si>
    <t>Desired Buck duty cycle at the instant the Boost switch starts to switch; recommend 0.6 ~ 0.65;   it is better to be larger than Boost duty cycle at Buck-Boost mode for efficiency consideration</t>
  </si>
  <si>
    <t>ALLEGRO A4450 DESIGN SPREADSHEET - Rev. 2.0</t>
  </si>
  <si>
    <r>
      <rPr>
        <sz val="11"/>
        <color theme="0"/>
        <rFont val="Symbol"/>
        <family val="1"/>
        <charset val="2"/>
      </rPr>
      <t>°</t>
    </r>
    <r>
      <rPr>
        <sz val="11"/>
        <color theme="0"/>
        <rFont val="Calibri"/>
        <family val="2"/>
      </rPr>
      <t>C</t>
    </r>
  </si>
  <si>
    <r>
      <rPr>
        <sz val="11"/>
        <color theme="0"/>
        <rFont val="Symbol"/>
        <family val="1"/>
        <charset val="2"/>
      </rPr>
      <t>D</t>
    </r>
    <r>
      <rPr>
        <sz val="11"/>
        <color theme="0"/>
        <rFont val="Calibri"/>
        <family val="2"/>
      </rPr>
      <t>IL (A)</t>
    </r>
  </si>
  <si>
    <r>
      <t>TJ_IC (</t>
    </r>
    <r>
      <rPr>
        <sz val="11"/>
        <color theme="0"/>
        <rFont val="Symbol"/>
        <family val="1"/>
        <charset val="2"/>
      </rPr>
      <t>°</t>
    </r>
    <r>
      <rPr>
        <sz val="11"/>
        <color theme="0"/>
        <rFont val="Calibri"/>
        <family val="2"/>
      </rPr>
      <t>C</t>
    </r>
    <r>
      <rPr>
        <sz val="11"/>
        <color theme="0"/>
        <rFont val="Calibri"/>
        <family val="2"/>
        <scheme val="minor"/>
      </rPr>
      <t>)</t>
    </r>
  </si>
  <si>
    <r>
      <t>Rds_Buck (m</t>
    </r>
    <r>
      <rPr>
        <sz val="11"/>
        <color theme="0"/>
        <rFont val="Calibri"/>
        <family val="2"/>
      </rPr>
      <t>Ω)</t>
    </r>
  </si>
  <si>
    <r>
      <t>Rds_Boost (m</t>
    </r>
    <r>
      <rPr>
        <sz val="11"/>
        <color theme="0"/>
        <rFont val="Calibri"/>
        <family val="2"/>
      </rPr>
      <t>Ω)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</si>
</sst>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"/>
  </numFmts>
  <fonts count="6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b/>
      <i/>
      <sz val="16"/>
      <color theme="0"/>
      <name val="Calibri"/>
      <family val="2"/>
      <scheme val="minor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i/>
      <sz val="11"/>
      <color rgb="FF0000FF"/>
      <name val="Calibri"/>
      <family val="2"/>
    </font>
    <font>
      <i/>
      <sz val="11"/>
      <color theme="0"/>
      <name val="Calibri"/>
      <family val="2"/>
    </font>
    <font>
      <b/>
      <sz val="11"/>
      <color rgb="FF0000FF"/>
      <name val="Calibri"/>
      <family val="2"/>
      <scheme val="minor"/>
    </font>
    <font>
      <b/>
      <sz val="11"/>
      <color rgb="FF0000FF"/>
      <name val="Calibri"/>
      <family val="2"/>
    </font>
    <font>
      <b/>
      <vertAlign val="subscript"/>
      <sz val="11"/>
      <color rgb="FF0000FF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4"/>
      <color theme="0"/>
      <name val="Calibri"/>
      <family val="2"/>
      <scheme val="minor"/>
    </font>
    <font>
      <b/>
      <sz val="10"/>
      <name val="Calibri"/>
      <family val="2"/>
    </font>
    <font>
      <b/>
      <vertAlign val="subscript"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i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vertAlign val="subscript"/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</font>
    <font>
      <b/>
      <i/>
      <sz val="14"/>
      <color theme="1"/>
      <name val="Calibri"/>
      <family val="2"/>
    </font>
    <font>
      <b/>
      <i/>
      <sz val="12"/>
      <color rgb="FF0000FF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bscript"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Symbol"/>
      <family val="1"/>
      <charset val="2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465926084170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63">
    <xf numFmtId="0" fontId="0" fillId="0" borderId="0" xfId="0"/>
    <xf numFmtId="0" fontId="0" fillId="0" borderId="0" xfId="0" applyAlignment="1">
      <alignment horizontal="center"/>
    </xf>
    <xf numFmtId="0" fontId="10" fillId="0" borderId="0" xfId="0" applyFont="1"/>
    <xf numFmtId="0" fontId="5" fillId="0" borderId="0" xfId="1" applyProtection="1"/>
    <xf numFmtId="0" fontId="7" fillId="0" borderId="0" xfId="0" applyFont="1"/>
    <xf numFmtId="0" fontId="0" fillId="6" borderId="3" xfId="0" applyFill="1" applyBorder="1" applyAlignment="1" applyProtection="1">
      <alignment horizontal="center"/>
    </xf>
    <xf numFmtId="0" fontId="8" fillId="6" borderId="3" xfId="0" applyFont="1" applyFill="1" applyBorder="1" applyAlignment="1" applyProtection="1">
      <alignment horizontal="center"/>
    </xf>
    <xf numFmtId="165" fontId="0" fillId="7" borderId="2" xfId="0" applyNumberForma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2" fontId="0" fillId="7" borderId="0" xfId="0" applyNumberFormat="1" applyFill="1" applyBorder="1" applyAlignment="1" applyProtection="1">
      <alignment horizontal="center"/>
    </xf>
    <xf numFmtId="0" fontId="0" fillId="7" borderId="0" xfId="0" applyFill="1" applyBorder="1" applyProtection="1"/>
    <xf numFmtId="0" fontId="8" fillId="7" borderId="0" xfId="0" applyFont="1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left" indent="1"/>
    </xf>
    <xf numFmtId="0" fontId="0" fillId="7" borderId="10" xfId="0" applyFill="1" applyBorder="1" applyAlignment="1" applyProtection="1">
      <alignment horizontal="left" indent="1"/>
    </xf>
    <xf numFmtId="1" fontId="0" fillId="9" borderId="1" xfId="0" applyNumberFormat="1" applyFill="1" applyBorder="1" applyAlignment="1" applyProtection="1">
      <alignment horizontal="center"/>
      <protection locked="0"/>
    </xf>
    <xf numFmtId="0" fontId="0" fillId="6" borderId="15" xfId="0" applyFill="1" applyBorder="1" applyAlignment="1" applyProtection="1">
      <alignment horizontal="center"/>
    </xf>
    <xf numFmtId="0" fontId="8" fillId="6" borderId="13" xfId="0" applyFont="1" applyFill="1" applyBorder="1" applyAlignment="1" applyProtection="1">
      <alignment horizontal="center"/>
    </xf>
    <xf numFmtId="0" fontId="9" fillId="8" borderId="16" xfId="0" applyFont="1" applyFill="1" applyBorder="1" applyAlignment="1">
      <alignment horizontal="center"/>
    </xf>
    <xf numFmtId="0" fontId="9" fillId="8" borderId="17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0" fillId="5" borderId="14" xfId="0" applyFill="1" applyBorder="1"/>
    <xf numFmtId="0" fontId="0" fillId="5" borderId="20" xfId="0" applyFill="1" applyBorder="1"/>
    <xf numFmtId="0" fontId="8" fillId="5" borderId="14" xfId="0" applyFon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2" fontId="0" fillId="5" borderId="14" xfId="0" applyNumberFormat="1" applyFill="1" applyBorder="1" applyAlignment="1">
      <alignment horizontal="center"/>
    </xf>
    <xf numFmtId="0" fontId="0" fillId="5" borderId="22" xfId="0" applyFill="1" applyBorder="1"/>
    <xf numFmtId="0" fontId="0" fillId="5" borderId="23" xfId="0" applyFill="1" applyBorder="1"/>
    <xf numFmtId="0" fontId="0" fillId="5" borderId="14" xfId="0" applyFill="1" applyBorder="1" applyAlignment="1">
      <alignment horizontal="left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6" borderId="11" xfId="0" applyFill="1" applyBorder="1" applyAlignment="1" applyProtection="1">
      <alignment horizontal="center"/>
    </xf>
    <xf numFmtId="0" fontId="7" fillId="6" borderId="25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1" fillId="8" borderId="27" xfId="0" applyFont="1" applyFill="1" applyBorder="1" applyAlignment="1" applyProtection="1">
      <alignment horizontal="center"/>
    </xf>
    <xf numFmtId="0" fontId="11" fillId="8" borderId="28" xfId="0" applyFont="1" applyFill="1" applyBorder="1" applyAlignment="1" applyProtection="1">
      <alignment horizontal="center"/>
    </xf>
    <xf numFmtId="0" fontId="7" fillId="6" borderId="19" xfId="0" applyFont="1" applyFill="1" applyBorder="1" applyAlignment="1" applyProtection="1">
      <alignment horizontal="center"/>
    </xf>
    <xf numFmtId="0" fontId="7" fillId="6" borderId="25" xfId="0" applyFont="1" applyFill="1" applyBorder="1" applyAlignment="1" applyProtection="1">
      <alignment horizontal="center"/>
    </xf>
    <xf numFmtId="0" fontId="7" fillId="6" borderId="30" xfId="0" applyFont="1" applyFill="1" applyBorder="1" applyAlignment="1" applyProtection="1">
      <alignment horizontal="center"/>
    </xf>
    <xf numFmtId="0" fontId="7" fillId="7" borderId="40" xfId="0" applyFont="1" applyFill="1" applyBorder="1" applyAlignment="1" applyProtection="1">
      <alignment horizontal="center"/>
    </xf>
    <xf numFmtId="0" fontId="0" fillId="7" borderId="41" xfId="0" applyFill="1" applyBorder="1" applyProtection="1"/>
    <xf numFmtId="166" fontId="0" fillId="7" borderId="41" xfId="0" applyNumberFormat="1" applyFill="1" applyBorder="1" applyAlignment="1" applyProtection="1">
      <alignment horizontal="center"/>
    </xf>
    <xf numFmtId="0" fontId="0" fillId="7" borderId="36" xfId="0" applyFill="1" applyBorder="1" applyAlignment="1" applyProtection="1">
      <alignment horizontal="center"/>
    </xf>
    <xf numFmtId="0" fontId="0" fillId="7" borderId="33" xfId="0" applyFill="1" applyBorder="1" applyAlignment="1" applyProtection="1">
      <alignment horizontal="left" indent="1"/>
    </xf>
    <xf numFmtId="0" fontId="0" fillId="7" borderId="36" xfId="0" applyFill="1" applyBorder="1" applyProtection="1"/>
    <xf numFmtId="0" fontId="0" fillId="7" borderId="37" xfId="0" applyFill="1" applyBorder="1" applyProtection="1"/>
    <xf numFmtId="0" fontId="8" fillId="6" borderId="6" xfId="0" applyFont="1" applyFill="1" applyBorder="1" applyAlignment="1">
      <alignment horizontal="center" vertical="center"/>
    </xf>
    <xf numFmtId="0" fontId="7" fillId="6" borderId="32" xfId="0" applyFont="1" applyFill="1" applyBorder="1" applyAlignment="1" applyProtection="1">
      <alignment horizontal="center" vertical="center"/>
    </xf>
    <xf numFmtId="0" fontId="8" fillId="6" borderId="33" xfId="0" applyFont="1" applyFill="1" applyBorder="1" applyAlignment="1" applyProtection="1">
      <alignment horizontal="center" vertical="center"/>
    </xf>
    <xf numFmtId="0" fontId="8" fillId="6" borderId="34" xfId="0" applyFont="1" applyFill="1" applyBorder="1" applyAlignment="1" applyProtection="1">
      <alignment horizontal="center" vertical="center"/>
    </xf>
    <xf numFmtId="0" fontId="8" fillId="9" borderId="1" xfId="0" applyFont="1" applyFill="1" applyBorder="1" applyAlignment="1" applyProtection="1">
      <alignment horizontal="center" vertical="center"/>
      <protection locked="0"/>
    </xf>
    <xf numFmtId="0" fontId="0" fillId="6" borderId="35" xfId="0" applyFill="1" applyBorder="1" applyAlignment="1" applyProtection="1">
      <alignment horizontal="center" vertical="center"/>
    </xf>
    <xf numFmtId="0" fontId="8" fillId="6" borderId="13" xfId="0" applyFont="1" applyFill="1" applyBorder="1" applyAlignment="1" applyProtection="1">
      <alignment horizontal="center" vertical="center"/>
    </xf>
    <xf numFmtId="1" fontId="0" fillId="9" borderId="1" xfId="0" applyNumberFormat="1" applyFill="1" applyBorder="1" applyAlignment="1" applyProtection="1">
      <alignment horizontal="center" vertical="center"/>
      <protection locked="0"/>
    </xf>
    <xf numFmtId="0" fontId="8" fillId="6" borderId="8" xfId="0" applyFont="1" applyFill="1" applyBorder="1" applyAlignment="1" applyProtection="1">
      <alignment horizontal="center" vertical="center"/>
    </xf>
    <xf numFmtId="0" fontId="0" fillId="6" borderId="3" xfId="0" applyFill="1" applyBorder="1" applyAlignment="1" applyProtection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left" vertical="center"/>
    </xf>
    <xf numFmtId="0" fontId="0" fillId="5" borderId="14" xfId="0" applyFill="1" applyBorder="1" applyAlignment="1">
      <alignment vertical="center"/>
    </xf>
    <xf numFmtId="0" fontId="0" fillId="5" borderId="20" xfId="0" applyFill="1" applyBorder="1" applyAlignment="1">
      <alignment vertical="center"/>
    </xf>
    <xf numFmtId="0" fontId="0" fillId="5" borderId="21" xfId="0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15" fillId="5" borderId="22" xfId="0" applyFont="1" applyFill="1" applyBorder="1" applyAlignment="1">
      <alignment horizontal="center" vertical="center"/>
    </xf>
    <xf numFmtId="0" fontId="0" fillId="5" borderId="22" xfId="0" applyFill="1" applyBorder="1" applyAlignment="1">
      <alignment horizontal="left" vertical="center"/>
    </xf>
    <xf numFmtId="0" fontId="0" fillId="5" borderId="22" xfId="0" applyFill="1" applyBorder="1" applyAlignment="1">
      <alignment vertical="center"/>
    </xf>
    <xf numFmtId="0" fontId="0" fillId="5" borderId="23" xfId="0" applyFill="1" applyBorder="1" applyAlignment="1">
      <alignment vertical="center"/>
    </xf>
    <xf numFmtId="0" fontId="7" fillId="7" borderId="42" xfId="0" applyFont="1" applyFill="1" applyBorder="1" applyAlignment="1" applyProtection="1">
      <alignment horizontal="center" vertical="center"/>
    </xf>
    <xf numFmtId="0" fontId="0" fillId="7" borderId="36" xfId="0" applyFill="1" applyBorder="1" applyAlignment="1" applyProtection="1">
      <alignment horizontal="center" vertical="center"/>
    </xf>
    <xf numFmtId="0" fontId="0" fillId="7" borderId="34" xfId="0" applyFill="1" applyBorder="1" applyAlignment="1" applyProtection="1">
      <alignment horizontal="left" vertical="center" indent="1"/>
    </xf>
    <xf numFmtId="0" fontId="0" fillId="7" borderId="34" xfId="0" applyFill="1" applyBorder="1" applyAlignment="1" applyProtection="1">
      <alignment horizontal="left" indent="1"/>
    </xf>
    <xf numFmtId="0" fontId="0" fillId="7" borderId="0" xfId="0" applyFont="1" applyFill="1" applyBorder="1" applyAlignment="1" applyProtection="1">
      <alignment horizontal="left" vertical="center" wrapText="1"/>
    </xf>
    <xf numFmtId="0" fontId="7" fillId="7" borderId="40" xfId="0" applyFont="1" applyFill="1" applyBorder="1" applyAlignment="1" applyProtection="1">
      <alignment horizontal="center" vertical="center" wrapText="1"/>
    </xf>
    <xf numFmtId="0" fontId="0" fillId="7" borderId="0" xfId="0" applyFill="1" applyBorder="1" applyAlignment="1" applyProtection="1">
      <alignment horizontal="center" vertical="center" wrapText="1"/>
    </xf>
    <xf numFmtId="0" fontId="0" fillId="7" borderId="7" xfId="0" applyFill="1" applyBorder="1" applyAlignment="1" applyProtection="1">
      <alignment horizontal="left" vertical="center" indent="1"/>
    </xf>
    <xf numFmtId="0" fontId="0" fillId="9" borderId="1" xfId="0" applyFont="1" applyFill="1" applyBorder="1" applyAlignment="1" applyProtection="1">
      <alignment horizontal="center" vertical="center" wrapText="1"/>
      <protection locked="0"/>
    </xf>
    <xf numFmtId="165" fontId="0" fillId="5" borderId="14" xfId="0" applyNumberFormat="1" applyFill="1" applyBorder="1" applyAlignment="1">
      <alignment horizontal="center"/>
    </xf>
    <xf numFmtId="0" fontId="11" fillId="8" borderId="26" xfId="0" applyFont="1" applyFill="1" applyBorder="1" applyAlignment="1" applyProtection="1">
      <alignment horizontal="center"/>
    </xf>
    <xf numFmtId="0" fontId="11" fillId="8" borderId="17" xfId="0" applyFont="1" applyFill="1" applyBorder="1" applyAlignment="1" applyProtection="1">
      <alignment horizontal="center" vertical="center"/>
    </xf>
    <xf numFmtId="0" fontId="0" fillId="7" borderId="0" xfId="0" applyFill="1" applyBorder="1" applyAlignment="1" applyProtection="1">
      <alignment horizontal="left" indent="1"/>
    </xf>
    <xf numFmtId="0" fontId="17" fillId="7" borderId="40" xfId="0" applyFont="1" applyFill="1" applyBorder="1" applyAlignment="1" applyProtection="1">
      <alignment horizontal="left" vertical="center"/>
    </xf>
    <xf numFmtId="0" fontId="24" fillId="7" borderId="40" xfId="0" applyFont="1" applyFill="1" applyBorder="1" applyAlignment="1" applyProtection="1">
      <alignment horizontal="center"/>
    </xf>
    <xf numFmtId="0" fontId="24" fillId="7" borderId="0" xfId="0" applyFont="1" applyFill="1" applyBorder="1" applyAlignment="1" applyProtection="1">
      <alignment horizontal="center"/>
    </xf>
    <xf numFmtId="0" fontId="25" fillId="7" borderId="0" xfId="0" applyFont="1" applyFill="1" applyBorder="1" applyAlignment="1" applyProtection="1">
      <alignment horizontal="center"/>
    </xf>
    <xf numFmtId="0" fontId="24" fillId="7" borderId="40" xfId="0" applyFont="1" applyFill="1" applyBorder="1" applyAlignment="1" applyProtection="1">
      <alignment horizontal="center" vertical="center"/>
    </xf>
    <xf numFmtId="2" fontId="24" fillId="7" borderId="0" xfId="0" applyNumberFormat="1" applyFont="1" applyFill="1" applyBorder="1" applyAlignment="1" applyProtection="1">
      <alignment horizontal="center" vertical="center"/>
    </xf>
    <xf numFmtId="0" fontId="0" fillId="7" borderId="0" xfId="0" applyFont="1" applyFill="1" applyBorder="1" applyAlignment="1" applyProtection="1">
      <alignment horizontal="center"/>
    </xf>
    <xf numFmtId="0" fontId="0" fillId="7" borderId="0" xfId="0" applyFont="1" applyFill="1" applyBorder="1" applyProtection="1"/>
    <xf numFmtId="0" fontId="0" fillId="7" borderId="41" xfId="0" applyFont="1" applyFill="1" applyBorder="1" applyProtection="1"/>
    <xf numFmtId="165" fontId="0" fillId="7" borderId="0" xfId="0" applyNumberFormat="1" applyFont="1" applyFill="1" applyBorder="1" applyAlignment="1" applyProtection="1">
      <alignment horizontal="center"/>
    </xf>
    <xf numFmtId="1" fontId="24" fillId="9" borderId="1" xfId="0" applyNumberFormat="1" applyFont="1" applyFill="1" applyBorder="1" applyAlignment="1" applyProtection="1">
      <alignment horizontal="center"/>
      <protection locked="0"/>
    </xf>
    <xf numFmtId="0" fontId="35" fillId="7" borderId="0" xfId="0" applyFont="1" applyFill="1" applyBorder="1" applyProtection="1"/>
    <xf numFmtId="0" fontId="35" fillId="7" borderId="41" xfId="0" applyFont="1" applyFill="1" applyBorder="1" applyProtection="1"/>
    <xf numFmtId="0" fontId="7" fillId="7" borderId="0" xfId="0" applyFont="1" applyFill="1" applyBorder="1" applyAlignment="1" applyProtection="1">
      <alignment horizontal="left" vertical="center"/>
    </xf>
    <xf numFmtId="165" fontId="31" fillId="7" borderId="0" xfId="0" applyNumberFormat="1" applyFont="1" applyFill="1" applyBorder="1" applyAlignment="1" applyProtection="1">
      <alignment horizontal="center" vertical="center"/>
    </xf>
    <xf numFmtId="0" fontId="39" fillId="8" borderId="40" xfId="0" applyFont="1" applyFill="1" applyBorder="1" applyAlignment="1">
      <alignment horizontal="center"/>
    </xf>
    <xf numFmtId="0" fontId="39" fillId="0" borderId="0" xfId="0" applyFont="1"/>
    <xf numFmtId="0" fontId="39" fillId="8" borderId="42" xfId="0" applyFont="1" applyFill="1" applyBorder="1" applyAlignment="1">
      <alignment horizontal="center"/>
    </xf>
    <xf numFmtId="0" fontId="40" fillId="0" borderId="0" xfId="1" applyFont="1" applyAlignment="1" applyProtection="1">
      <alignment horizontal="center" vertical="center"/>
      <protection locked="0"/>
    </xf>
    <xf numFmtId="0" fontId="41" fillId="0" borderId="0" xfId="0" applyFont="1" applyAlignment="1">
      <alignment horizontal="center"/>
    </xf>
    <xf numFmtId="0" fontId="11" fillId="8" borderId="16" xfId="0" applyFont="1" applyFill="1" applyBorder="1" applyAlignment="1" applyProtection="1">
      <alignment horizontal="center" vertical="center" wrapText="1"/>
    </xf>
    <xf numFmtId="0" fontId="0" fillId="6" borderId="12" xfId="0" applyFill="1" applyBorder="1" applyAlignment="1" applyProtection="1">
      <alignment horizontal="center"/>
    </xf>
    <xf numFmtId="0" fontId="8" fillId="6" borderId="51" xfId="0" applyFont="1" applyFill="1" applyBorder="1" applyAlignment="1" applyProtection="1">
      <alignment horizontal="center" vertical="center"/>
    </xf>
    <xf numFmtId="0" fontId="7" fillId="6" borderId="19" xfId="0" applyFont="1" applyFill="1" applyBorder="1" applyAlignment="1" applyProtection="1">
      <alignment horizontal="center" vertical="center"/>
    </xf>
    <xf numFmtId="0" fontId="0" fillId="7" borderId="36" xfId="0" applyFill="1" applyBorder="1"/>
    <xf numFmtId="0" fontId="0" fillId="7" borderId="37" xfId="0" applyFill="1" applyBorder="1"/>
    <xf numFmtId="0" fontId="0" fillId="7" borderId="42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7" borderId="34" xfId="0" applyFill="1" applyBorder="1" applyAlignment="1">
      <alignment horizontal="left" indent="1"/>
    </xf>
    <xf numFmtId="0" fontId="35" fillId="6" borderId="13" xfId="0" applyFont="1" applyFill="1" applyBorder="1" applyAlignment="1" applyProtection="1">
      <alignment horizontal="left" indent="1"/>
    </xf>
    <xf numFmtId="0" fontId="35" fillId="6" borderId="14" xfId="0" applyFont="1" applyFill="1" applyBorder="1" applyAlignment="1" applyProtection="1">
      <alignment horizontal="left" indent="1"/>
    </xf>
    <xf numFmtId="0" fontId="35" fillId="6" borderId="20" xfId="0" applyFont="1" applyFill="1" applyBorder="1" applyAlignment="1" applyProtection="1">
      <alignment horizontal="left" indent="1"/>
    </xf>
    <xf numFmtId="1" fontId="0" fillId="7" borderId="36" xfId="0" applyNumberFormat="1" applyFill="1" applyBorder="1" applyAlignment="1">
      <alignment horizontal="center" vertical="center"/>
    </xf>
    <xf numFmtId="0" fontId="7" fillId="6" borderId="21" xfId="0" applyFont="1" applyFill="1" applyBorder="1" applyAlignment="1" applyProtection="1">
      <alignment horizontal="center" vertical="center"/>
    </xf>
    <xf numFmtId="0" fontId="8" fillId="6" borderId="43" xfId="0" applyFont="1" applyFill="1" applyBorder="1" applyAlignment="1" applyProtection="1">
      <alignment horizontal="center" vertical="center"/>
    </xf>
    <xf numFmtId="0" fontId="32" fillId="0" borderId="0" xfId="1" applyFont="1" applyAlignment="1" applyProtection="1">
      <alignment horizontal="center" vertical="center"/>
    </xf>
    <xf numFmtId="0" fontId="32" fillId="0" borderId="0" xfId="1" applyFont="1" applyAlignment="1" applyProtection="1">
      <alignment horizontal="center"/>
    </xf>
    <xf numFmtId="0" fontId="40" fillId="0" borderId="0" xfId="1" applyFont="1" applyAlignment="1" applyProtection="1">
      <alignment horizontal="right" vertical="center"/>
    </xf>
    <xf numFmtId="0" fontId="32" fillId="0" borderId="0" xfId="1" applyFont="1" applyBorder="1" applyAlignment="1" applyProtection="1">
      <alignment horizontal="center" vertical="center"/>
    </xf>
    <xf numFmtId="0" fontId="32" fillId="0" borderId="0" xfId="1" applyFont="1" applyBorder="1" applyAlignment="1" applyProtection="1">
      <alignment horizontal="center"/>
    </xf>
    <xf numFmtId="0" fontId="32" fillId="0" borderId="0" xfId="1" applyFont="1" applyAlignment="1" applyProtection="1">
      <alignment horizontal="center" vertical="center"/>
    </xf>
    <xf numFmtId="0" fontId="32" fillId="0" borderId="0" xfId="1" applyFont="1" applyAlignment="1" applyProtection="1">
      <alignment horizontal="center"/>
    </xf>
    <xf numFmtId="0" fontId="0" fillId="0" borderId="0" xfId="0" applyAlignment="1">
      <alignment horizontal="center" vertical="center"/>
    </xf>
    <xf numFmtId="0" fontId="38" fillId="8" borderId="45" xfId="0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39" fillId="8" borderId="38" xfId="0" applyFont="1" applyFill="1" applyBorder="1" applyAlignment="1">
      <alignment horizontal="center"/>
    </xf>
    <xf numFmtId="164" fontId="39" fillId="2" borderId="2" xfId="0" applyNumberFormat="1" applyFont="1" applyFill="1" applyBorder="1" applyAlignment="1">
      <alignment horizontal="center" vertical="center"/>
    </xf>
    <xf numFmtId="165" fontId="39" fillId="2" borderId="2" xfId="0" applyNumberFormat="1" applyFont="1" applyFill="1" applyBorder="1" applyAlignment="1">
      <alignment horizontal="center" vertical="center"/>
    </xf>
    <xf numFmtId="164" fontId="39" fillId="3" borderId="2" xfId="0" applyNumberFormat="1" applyFont="1" applyFill="1" applyBorder="1" applyAlignment="1">
      <alignment horizontal="center" vertical="center"/>
    </xf>
    <xf numFmtId="165" fontId="39" fillId="3" borderId="2" xfId="0" applyNumberFormat="1" applyFont="1" applyFill="1" applyBorder="1" applyAlignment="1">
      <alignment horizontal="center" vertical="center"/>
    </xf>
    <xf numFmtId="164" fontId="39" fillId="4" borderId="2" xfId="0" applyNumberFormat="1" applyFont="1" applyFill="1" applyBorder="1" applyAlignment="1">
      <alignment horizontal="center" vertical="center"/>
    </xf>
    <xf numFmtId="165" fontId="39" fillId="4" borderId="2" xfId="0" applyNumberFormat="1" applyFont="1" applyFill="1" applyBorder="1" applyAlignment="1">
      <alignment horizontal="center" vertical="center"/>
    </xf>
    <xf numFmtId="0" fontId="6" fillId="8" borderId="36" xfId="1" applyFont="1" applyFill="1" applyBorder="1" applyAlignment="1" applyProtection="1">
      <alignment horizontal="center" vertical="center"/>
    </xf>
    <xf numFmtId="0" fontId="32" fillId="0" borderId="0" xfId="1" applyFont="1" applyAlignment="1" applyProtection="1">
      <alignment horizontal="left"/>
    </xf>
    <xf numFmtId="0" fontId="40" fillId="0" borderId="0" xfId="1" applyFont="1" applyAlignment="1" applyProtection="1">
      <alignment horizontal="left" vertical="center"/>
    </xf>
    <xf numFmtId="0" fontId="32" fillId="0" borderId="0" xfId="0" applyFont="1" applyAlignment="1">
      <alignment horizontal="left"/>
    </xf>
    <xf numFmtId="0" fontId="7" fillId="7" borderId="0" xfId="0" applyFont="1" applyFill="1" applyBorder="1" applyProtection="1"/>
    <xf numFmtId="0" fontId="38" fillId="8" borderId="36" xfId="0" applyFont="1" applyFill="1" applyBorder="1" applyAlignment="1">
      <alignment horizontal="center" vertical="center"/>
    </xf>
    <xf numFmtId="0" fontId="0" fillId="0" borderId="0" xfId="0" applyFont="1"/>
    <xf numFmtId="0" fontId="38" fillId="8" borderId="42" xfId="0" applyFont="1" applyFill="1" applyBorder="1" applyAlignment="1">
      <alignment horizontal="center" vertical="center"/>
    </xf>
    <xf numFmtId="0" fontId="38" fillId="8" borderId="37" xfId="0" applyFont="1" applyFill="1" applyBorder="1" applyAlignment="1">
      <alignment horizontal="center" vertical="center"/>
    </xf>
    <xf numFmtId="0" fontId="0" fillId="8" borderId="39" xfId="0" applyFont="1" applyFill="1" applyBorder="1"/>
    <xf numFmtId="0" fontId="38" fillId="8" borderId="56" xfId="0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 applyProtection="1">
      <alignment horizontal="center" vertical="center"/>
      <protection locked="0"/>
    </xf>
    <xf numFmtId="2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6" borderId="53" xfId="0" applyFont="1" applyFill="1" applyBorder="1" applyAlignment="1" applyProtection="1">
      <alignment horizontal="center" vertical="center"/>
    </xf>
    <xf numFmtId="0" fontId="8" fillId="6" borderId="15" xfId="0" applyFont="1" applyFill="1" applyBorder="1" applyAlignment="1" applyProtection="1">
      <alignment horizontal="center" vertical="center"/>
    </xf>
    <xf numFmtId="0" fontId="8" fillId="6" borderId="54" xfId="0" applyFont="1" applyFill="1" applyBorder="1" applyAlignment="1" applyProtection="1">
      <alignment horizontal="center" vertical="center"/>
    </xf>
    <xf numFmtId="0" fontId="43" fillId="8" borderId="52" xfId="0" applyFont="1" applyFill="1" applyBorder="1" applyAlignment="1" applyProtection="1">
      <alignment horizontal="center" vertical="center"/>
    </xf>
    <xf numFmtId="0" fontId="12" fillId="7" borderId="0" xfId="0" applyFont="1" applyFill="1" applyBorder="1" applyAlignment="1" applyProtection="1">
      <alignment horizontal="center"/>
    </xf>
    <xf numFmtId="1" fontId="7" fillId="7" borderId="0" xfId="0" applyNumberFormat="1" applyFont="1" applyFill="1" applyBorder="1" applyAlignment="1" applyProtection="1">
      <alignment horizontal="center"/>
    </xf>
    <xf numFmtId="0" fontId="7" fillId="7" borderId="0" xfId="0" applyFont="1" applyFill="1" applyBorder="1" applyAlignment="1" applyProtection="1">
      <alignment horizontal="center"/>
    </xf>
    <xf numFmtId="2" fontId="24" fillId="0" borderId="1" xfId="0" applyNumberFormat="1" applyFont="1" applyFill="1" applyBorder="1" applyAlignment="1" applyProtection="1">
      <alignment horizontal="center"/>
      <protection locked="0"/>
    </xf>
    <xf numFmtId="0" fontId="8" fillId="6" borderId="15" xfId="0" applyFont="1" applyFill="1" applyBorder="1" applyAlignment="1" applyProtection="1">
      <alignment horizontal="center"/>
    </xf>
    <xf numFmtId="0" fontId="0" fillId="0" borderId="0" xfId="0" applyFill="1"/>
    <xf numFmtId="0" fontId="0" fillId="0" borderId="2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7" fillId="7" borderId="40" xfId="0" applyFont="1" applyFill="1" applyBorder="1" applyAlignment="1" applyProtection="1">
      <alignment horizontal="center" vertical="center"/>
    </xf>
    <xf numFmtId="165" fontId="0" fillId="9" borderId="1" xfId="0" applyNumberFormat="1" applyFill="1" applyBorder="1" applyAlignment="1" applyProtection="1">
      <alignment horizontal="center" vertical="center"/>
      <protection locked="0"/>
    </xf>
    <xf numFmtId="0" fontId="7" fillId="6" borderId="16" xfId="0" applyFont="1" applyFill="1" applyBorder="1" applyAlignment="1" applyProtection="1">
      <alignment horizontal="center" vertical="center"/>
    </xf>
    <xf numFmtId="0" fontId="46" fillId="8" borderId="38" xfId="0" applyFont="1" applyFill="1" applyBorder="1" applyAlignment="1">
      <alignment horizontal="center" vertical="center"/>
    </xf>
    <xf numFmtId="0" fontId="38" fillId="8" borderId="2" xfId="0" applyFont="1" applyFill="1" applyBorder="1" applyAlignment="1">
      <alignment horizontal="center" vertical="center"/>
    </xf>
    <xf numFmtId="0" fontId="38" fillId="8" borderId="39" xfId="0" applyFont="1" applyFill="1" applyBorder="1" applyAlignment="1">
      <alignment horizontal="center" vertical="center"/>
    </xf>
    <xf numFmtId="0" fontId="0" fillId="6" borderId="22" xfId="0" applyFill="1" applyBorder="1" applyProtection="1"/>
    <xf numFmtId="0" fontId="0" fillId="6" borderId="23" xfId="0" applyFill="1" applyBorder="1" applyProtection="1"/>
    <xf numFmtId="0" fontId="7" fillId="6" borderId="19" xfId="0" applyFont="1" applyFill="1" applyBorder="1" applyAlignment="1">
      <alignment horizontal="center" vertical="center"/>
    </xf>
    <xf numFmtId="165" fontId="8" fillId="9" borderId="1" xfId="0" applyNumberFormat="1" applyFont="1" applyFill="1" applyBorder="1" applyAlignment="1" applyProtection="1">
      <alignment horizontal="center" vertical="center"/>
      <protection locked="0"/>
    </xf>
    <xf numFmtId="1" fontId="24" fillId="0" borderId="1" xfId="0" applyNumberFormat="1" applyFont="1" applyFill="1" applyBorder="1" applyAlignment="1" applyProtection="1">
      <alignment horizontal="center"/>
      <protection locked="0"/>
    </xf>
    <xf numFmtId="0" fontId="7" fillId="5" borderId="19" xfId="0" applyFon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center" vertical="center"/>
    </xf>
    <xf numFmtId="165" fontId="0" fillId="5" borderId="14" xfId="0" applyNumberFormat="1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 vertical="center"/>
    </xf>
    <xf numFmtId="2" fontId="0" fillId="5" borderId="14" xfId="0" applyNumberFormat="1" applyFont="1" applyFill="1" applyBorder="1" applyAlignment="1">
      <alignment horizontal="center" vertical="center"/>
    </xf>
    <xf numFmtId="165" fontId="0" fillId="5" borderId="14" xfId="0" applyNumberFormat="1" applyFill="1" applyBorder="1" applyAlignment="1">
      <alignment horizontal="center" vertical="center"/>
    </xf>
    <xf numFmtId="2" fontId="0" fillId="5" borderId="14" xfId="0" applyNumberFormat="1" applyFill="1" applyBorder="1" applyAlignment="1">
      <alignment horizontal="center" vertical="center"/>
    </xf>
    <xf numFmtId="0" fontId="20" fillId="5" borderId="22" xfId="0" applyFont="1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14" xfId="0" applyFill="1" applyBorder="1" applyAlignment="1">
      <alignment horizontal="left" vertical="center" indent="1"/>
    </xf>
    <xf numFmtId="0" fontId="0" fillId="5" borderId="22" xfId="0" applyFill="1" applyBorder="1" applyAlignment="1">
      <alignment horizontal="left" vertical="center" indent="1"/>
    </xf>
    <xf numFmtId="0" fontId="0" fillId="0" borderId="0" xfId="0" applyFill="1" applyAlignment="1">
      <alignment horizontal="center"/>
    </xf>
    <xf numFmtId="1" fontId="0" fillId="7" borderId="36" xfId="0" applyNumberFormat="1" applyFill="1" applyBorder="1" applyAlignment="1" applyProtection="1">
      <alignment horizontal="center" vertical="center"/>
    </xf>
    <xf numFmtId="2" fontId="8" fillId="5" borderId="1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 vertical="center"/>
    </xf>
    <xf numFmtId="2" fontId="0" fillId="9" borderId="1" xfId="0" applyNumberFormat="1" applyFill="1" applyBorder="1" applyAlignment="1" applyProtection="1">
      <alignment horizontal="center" vertical="center"/>
      <protection locked="0"/>
    </xf>
    <xf numFmtId="2" fontId="8" fillId="9" borderId="1" xfId="0" applyNumberFormat="1" applyFont="1" applyFill="1" applyBorder="1" applyAlignment="1" applyProtection="1">
      <alignment horizontal="center" vertical="center"/>
      <protection locked="0"/>
    </xf>
    <xf numFmtId="0" fontId="8" fillId="6" borderId="3" xfId="0" applyFont="1" applyFill="1" applyBorder="1" applyAlignment="1" applyProtection="1">
      <alignment horizontal="center" vertical="center"/>
    </xf>
    <xf numFmtId="0" fontId="8" fillId="6" borderId="9" xfId="0" applyFont="1" applyFill="1" applyBorder="1" applyAlignment="1" applyProtection="1">
      <alignment horizontal="center" vertical="center"/>
    </xf>
    <xf numFmtId="0" fontId="8" fillId="6" borderId="11" xfId="0" applyFont="1" applyFill="1" applyBorder="1" applyAlignment="1" applyProtection="1">
      <alignment horizontal="center" vertical="center"/>
    </xf>
    <xf numFmtId="0" fontId="8" fillId="6" borderId="5" xfId="0" applyFont="1" applyFill="1" applyBorder="1" applyAlignment="1" applyProtection="1">
      <alignment horizontal="center" vertical="center"/>
    </xf>
    <xf numFmtId="0" fontId="8" fillId="6" borderId="7" xfId="0" applyFont="1" applyFill="1" applyBorder="1" applyAlignment="1" applyProtection="1">
      <alignment horizontal="center" vertical="center"/>
    </xf>
    <xf numFmtId="2" fontId="0" fillId="9" borderId="24" xfId="0" applyNumberForma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7" borderId="0" xfId="0" applyFill="1" applyBorder="1" applyAlignment="1" applyProtection="1">
      <alignment horizontal="center" vertical="center"/>
    </xf>
    <xf numFmtId="0" fontId="0" fillId="7" borderId="35" xfId="0" applyFill="1" applyBorder="1" applyAlignment="1" applyProtection="1">
      <alignment horizontal="center" vertical="center"/>
    </xf>
    <xf numFmtId="0" fontId="0" fillId="7" borderId="10" xfId="0" applyFill="1" applyBorder="1" applyAlignment="1" applyProtection="1">
      <alignment horizontal="left" vertical="center" indent="1"/>
    </xf>
    <xf numFmtId="0" fontId="35" fillId="7" borderId="10" xfId="0" applyFont="1" applyFill="1" applyBorder="1" applyAlignment="1" applyProtection="1">
      <alignment horizontal="left" vertical="center" indent="1"/>
    </xf>
    <xf numFmtId="0" fontId="24" fillId="7" borderId="0" xfId="0" applyFont="1" applyFill="1" applyBorder="1" applyAlignment="1" applyProtection="1">
      <alignment horizontal="center" vertical="center"/>
    </xf>
    <xf numFmtId="0" fontId="33" fillId="7" borderId="40" xfId="0" applyFont="1" applyFill="1" applyBorder="1" applyAlignment="1" applyProtection="1">
      <alignment horizontal="center" vertical="center"/>
    </xf>
    <xf numFmtId="0" fontId="33" fillId="7" borderId="0" xfId="0" applyFont="1" applyFill="1" applyBorder="1" applyAlignment="1" applyProtection="1">
      <alignment horizontal="center" vertical="center"/>
    </xf>
    <xf numFmtId="165" fontId="24" fillId="9" borderId="1" xfId="0" applyNumberFormat="1" applyFont="1" applyFill="1" applyBorder="1" applyAlignment="1" applyProtection="1">
      <alignment horizontal="center" vertical="center"/>
      <protection locked="0"/>
    </xf>
    <xf numFmtId="0" fontId="8" fillId="7" borderId="0" xfId="0" applyFont="1" applyFill="1" applyBorder="1" applyAlignment="1" applyProtection="1">
      <alignment horizontal="center" vertical="center"/>
    </xf>
    <xf numFmtId="0" fontId="24" fillId="7" borderId="42" xfId="0" applyFont="1" applyFill="1" applyBorder="1" applyAlignment="1" applyProtection="1">
      <alignment horizontal="center" vertical="center"/>
    </xf>
    <xf numFmtId="0" fontId="24" fillId="7" borderId="36" xfId="0" applyFont="1" applyFill="1" applyBorder="1" applyAlignment="1" applyProtection="1">
      <alignment horizontal="center" vertical="center"/>
    </xf>
    <xf numFmtId="0" fontId="0" fillId="7" borderId="33" xfId="0" applyFill="1" applyBorder="1" applyAlignment="1" applyProtection="1">
      <alignment horizontal="left" vertical="center" indent="1"/>
    </xf>
    <xf numFmtId="165" fontId="0" fillId="7" borderId="0" xfId="0" applyNumberFormat="1" applyFont="1" applyFill="1" applyBorder="1" applyAlignment="1" applyProtection="1">
      <alignment horizontal="center" vertical="center"/>
    </xf>
    <xf numFmtId="164" fontId="17" fillId="7" borderId="0" xfId="0" applyNumberFormat="1" applyFont="1" applyFill="1" applyBorder="1" applyAlignment="1" applyProtection="1">
      <alignment horizontal="center" vertical="center"/>
    </xf>
    <xf numFmtId="164" fontId="0" fillId="9" borderId="1" xfId="0" applyNumberFormat="1" applyFill="1" applyBorder="1" applyAlignment="1" applyProtection="1">
      <alignment horizontal="center" vertical="center"/>
      <protection locked="0"/>
    </xf>
    <xf numFmtId="165" fontId="8" fillId="6" borderId="47" xfId="0" applyNumberFormat="1" applyFont="1" applyFill="1" applyBorder="1" applyAlignment="1" applyProtection="1">
      <alignment horizontal="center" vertical="center"/>
    </xf>
    <xf numFmtId="2" fontId="39" fillId="2" borderId="38" xfId="0" applyNumberFormat="1" applyFont="1" applyFill="1" applyBorder="1" applyAlignment="1">
      <alignment horizontal="center" vertical="center"/>
    </xf>
    <xf numFmtId="2" fontId="39" fillId="2" borderId="2" xfId="0" applyNumberFormat="1" applyFont="1" applyFill="1" applyBorder="1" applyAlignment="1">
      <alignment horizontal="center" vertical="center"/>
    </xf>
    <xf numFmtId="165" fontId="39" fillId="2" borderId="39" xfId="0" applyNumberFormat="1" applyFont="1" applyFill="1" applyBorder="1" applyAlignment="1">
      <alignment horizontal="center" vertical="center"/>
    </xf>
    <xf numFmtId="2" fontId="39" fillId="3" borderId="2" xfId="0" applyNumberFormat="1" applyFont="1" applyFill="1" applyBorder="1" applyAlignment="1">
      <alignment horizontal="center" vertical="center"/>
    </xf>
    <xf numFmtId="2" fontId="39" fillId="4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9" borderId="3" xfId="0" applyFont="1" applyFill="1" applyBorder="1" applyAlignment="1" applyProtection="1">
      <alignment horizontal="center" vertical="center"/>
      <protection locked="0"/>
    </xf>
    <xf numFmtId="164" fontId="0" fillId="9" borderId="3" xfId="0" applyNumberFormat="1" applyFill="1" applyBorder="1" applyAlignment="1" applyProtection="1">
      <alignment horizontal="center" vertical="center"/>
      <protection locked="0"/>
    </xf>
    <xf numFmtId="2" fontId="0" fillId="9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2" fontId="0" fillId="9" borderId="39" xfId="0" applyNumberFormat="1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 vertical="center"/>
    </xf>
    <xf numFmtId="0" fontId="1" fillId="7" borderId="0" xfId="0" applyFont="1" applyFill="1" applyBorder="1" applyAlignment="1" applyProtection="1">
      <alignment horizontal="center"/>
    </xf>
    <xf numFmtId="0" fontId="25" fillId="7" borderId="8" xfId="0" applyFont="1" applyFill="1" applyBorder="1" applyAlignment="1" applyProtection="1">
      <alignment horizontal="center"/>
    </xf>
    <xf numFmtId="0" fontId="25" fillId="7" borderId="0" xfId="0" applyFont="1" applyFill="1" applyBorder="1" applyAlignment="1" applyProtection="1">
      <alignment horizontal="center" vertical="center"/>
    </xf>
    <xf numFmtId="0" fontId="2" fillId="7" borderId="40" xfId="0" applyFont="1" applyFill="1" applyBorder="1" applyAlignment="1" applyProtection="1">
      <alignment horizontal="center" vertical="center"/>
    </xf>
    <xf numFmtId="0" fontId="7" fillId="6" borderId="40" xfId="0" applyFont="1" applyFill="1" applyBorder="1" applyAlignment="1">
      <alignment horizontal="center" vertical="center"/>
    </xf>
    <xf numFmtId="0" fontId="0" fillId="6" borderId="36" xfId="0" applyFill="1" applyBorder="1" applyAlignment="1" applyProtection="1">
      <alignment horizontal="left" vertical="center" indent="1"/>
    </xf>
    <xf numFmtId="0" fontId="0" fillId="6" borderId="36" xfId="0" applyFill="1" applyBorder="1" applyProtection="1"/>
    <xf numFmtId="0" fontId="0" fillId="6" borderId="37" xfId="0" applyFill="1" applyBorder="1" applyProtection="1"/>
    <xf numFmtId="0" fontId="2" fillId="6" borderId="25" xfId="0" applyFont="1" applyFill="1" applyBorder="1" applyAlignment="1" applyProtection="1">
      <alignment horizontal="center" vertical="center"/>
    </xf>
    <xf numFmtId="165" fontId="0" fillId="7" borderId="8" xfId="0" applyNumberFormat="1" applyFill="1" applyBorder="1" applyAlignment="1" applyProtection="1">
      <alignment horizontal="center" vertical="center"/>
    </xf>
    <xf numFmtId="0" fontId="0" fillId="5" borderId="5" xfId="0" applyFill="1" applyBorder="1" applyAlignment="1">
      <alignment horizontal="center" vertical="center"/>
    </xf>
    <xf numFmtId="2" fontId="0" fillId="7" borderId="0" xfId="0" applyNumberFormat="1" applyFont="1" applyFill="1" applyBorder="1" applyAlignment="1" applyProtection="1">
      <alignment horizontal="center" vertical="center"/>
    </xf>
    <xf numFmtId="164" fontId="0" fillId="0" borderId="3" xfId="0" applyNumberFormat="1" applyFont="1" applyFill="1" applyBorder="1" applyAlignment="1" applyProtection="1">
      <alignment horizontal="center" vertical="center"/>
      <protection locked="0"/>
    </xf>
    <xf numFmtId="165" fontId="24" fillId="0" borderId="1" xfId="0" applyNumberFormat="1" applyFont="1" applyFill="1" applyBorder="1" applyAlignment="1" applyProtection="1">
      <alignment horizontal="center" vertical="center"/>
      <protection locked="0"/>
    </xf>
    <xf numFmtId="0" fontId="1" fillId="7" borderId="0" xfId="0" applyFont="1" applyFill="1" applyBorder="1" applyAlignment="1" applyProtection="1">
      <alignment horizontal="center" vertical="center"/>
    </xf>
    <xf numFmtId="0" fontId="8" fillId="6" borderId="55" xfId="0" applyFont="1" applyFill="1" applyBorder="1" applyAlignment="1" applyProtection="1">
      <alignment horizontal="center" vertical="center"/>
    </xf>
    <xf numFmtId="165" fontId="8" fillId="6" borderId="12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65" fontId="0" fillId="6" borderId="10" xfId="0" applyNumberFormat="1" applyFill="1" applyBorder="1" applyAlignment="1" applyProtection="1">
      <alignment horizontal="center"/>
    </xf>
    <xf numFmtId="0" fontId="8" fillId="5" borderId="58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2" fontId="39" fillId="2" borderId="44" xfId="0" applyNumberFormat="1" applyFont="1" applyFill="1" applyBorder="1" applyAlignment="1">
      <alignment horizontal="center" vertical="center"/>
    </xf>
    <xf numFmtId="164" fontId="39" fillId="2" borderId="44" xfId="0" applyNumberFormat="1" applyFont="1" applyFill="1" applyBorder="1" applyAlignment="1">
      <alignment horizontal="center" vertical="center"/>
    </xf>
    <xf numFmtId="165" fontId="39" fillId="2" borderId="44" xfId="0" applyNumberFormat="1" applyFont="1" applyFill="1" applyBorder="1" applyAlignment="1">
      <alignment horizontal="center" vertical="center"/>
    </xf>
    <xf numFmtId="2" fontId="39" fillId="8" borderId="40" xfId="0" applyNumberFormat="1" applyFont="1" applyFill="1" applyBorder="1" applyAlignment="1">
      <alignment horizontal="center" vertical="center"/>
    </xf>
    <xf numFmtId="2" fontId="39" fillId="8" borderId="0" xfId="0" applyNumberFormat="1" applyFont="1" applyFill="1" applyBorder="1" applyAlignment="1">
      <alignment horizontal="center" vertical="center"/>
    </xf>
    <xf numFmtId="164" fontId="39" fillId="8" borderId="0" xfId="0" applyNumberFormat="1" applyFont="1" applyFill="1" applyBorder="1" applyAlignment="1">
      <alignment horizontal="center" vertical="center"/>
    </xf>
    <xf numFmtId="165" fontId="39" fillId="8" borderId="41" xfId="0" applyNumberFormat="1" applyFont="1" applyFill="1" applyBorder="1" applyAlignment="1">
      <alignment horizontal="center" vertical="center"/>
    </xf>
    <xf numFmtId="0" fontId="39" fillId="8" borderId="56" xfId="0" applyFont="1" applyFill="1" applyBorder="1" applyAlignment="1">
      <alignment horizontal="center"/>
    </xf>
    <xf numFmtId="2" fontId="39" fillId="3" borderId="44" xfId="0" applyNumberFormat="1" applyFont="1" applyFill="1" applyBorder="1" applyAlignment="1">
      <alignment horizontal="center" vertical="center"/>
    </xf>
    <xf numFmtId="164" fontId="39" fillId="3" borderId="44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0" fillId="7" borderId="0" xfId="0" applyFill="1" applyBorder="1" applyAlignment="1" applyProtection="1">
      <alignment horizontal="left" vertical="center" indent="1"/>
    </xf>
    <xf numFmtId="0" fontId="0" fillId="7" borderId="8" xfId="0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2" fontId="39" fillId="2" borderId="45" xfId="0" applyNumberFormat="1" applyFont="1" applyFill="1" applyBorder="1" applyAlignment="1">
      <alignment horizontal="center" vertical="center"/>
    </xf>
    <xf numFmtId="2" fontId="39" fillId="3" borderId="45" xfId="0" applyNumberFormat="1" applyFont="1" applyFill="1" applyBorder="1" applyAlignment="1">
      <alignment horizontal="center" vertical="center"/>
    </xf>
    <xf numFmtId="0" fontId="38" fillId="8" borderId="0" xfId="0" applyFont="1" applyFill="1" applyBorder="1" applyAlignment="1">
      <alignment horizontal="center" vertical="center"/>
    </xf>
    <xf numFmtId="2" fontId="39" fillId="4" borderId="44" xfId="0" applyNumberFormat="1" applyFont="1" applyFill="1" applyBorder="1" applyAlignment="1">
      <alignment horizontal="center" vertical="center"/>
    </xf>
    <xf numFmtId="164" fontId="39" fillId="4" borderId="44" xfId="0" applyNumberFormat="1" applyFont="1" applyFill="1" applyBorder="1" applyAlignment="1">
      <alignment horizontal="center" vertical="center"/>
    </xf>
    <xf numFmtId="165" fontId="39" fillId="4" borderId="44" xfId="0" applyNumberFormat="1" applyFont="1" applyFill="1" applyBorder="1" applyAlignment="1">
      <alignment horizontal="center" vertical="center"/>
    </xf>
    <xf numFmtId="165" fontId="39" fillId="3" borderId="44" xfId="0" applyNumberFormat="1" applyFont="1" applyFill="1" applyBorder="1" applyAlignment="1">
      <alignment horizontal="center" vertical="center"/>
    </xf>
    <xf numFmtId="165" fontId="39" fillId="2" borderId="46" xfId="0" applyNumberFormat="1" applyFont="1" applyFill="1" applyBorder="1" applyAlignment="1">
      <alignment horizontal="center" vertical="center"/>
    </xf>
    <xf numFmtId="2" fontId="7" fillId="7" borderId="0" xfId="0" applyNumberFormat="1" applyFont="1" applyFill="1" applyBorder="1" applyAlignment="1" applyProtection="1">
      <alignment horizontal="center"/>
    </xf>
    <xf numFmtId="165" fontId="46" fillId="0" borderId="1" xfId="0" applyNumberFormat="1" applyFont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>
      <alignment horizontal="center" vertical="center"/>
    </xf>
    <xf numFmtId="0" fontId="8" fillId="9" borderId="3" xfId="0" applyFont="1" applyFill="1" applyBorder="1" applyAlignment="1" applyProtection="1">
      <alignment horizontal="center" vertical="center"/>
      <protection locked="0"/>
    </xf>
    <xf numFmtId="2" fontId="8" fillId="5" borderId="5" xfId="0" applyNumberFormat="1" applyFont="1" applyFill="1" applyBorder="1" applyAlignment="1">
      <alignment horizontal="center" vertical="center"/>
    </xf>
    <xf numFmtId="164" fontId="8" fillId="5" borderId="14" xfId="0" applyNumberFormat="1" applyFont="1" applyFill="1" applyBorder="1" applyAlignment="1">
      <alignment horizontal="center" vertical="center"/>
    </xf>
    <xf numFmtId="0" fontId="8" fillId="5" borderId="14" xfId="0" applyFont="1" applyFill="1" applyBorder="1" applyAlignment="1" applyProtection="1">
      <alignment horizontal="center" vertical="center"/>
    </xf>
    <xf numFmtId="2" fontId="39" fillId="4" borderId="45" xfId="0" applyNumberFormat="1" applyFont="1" applyFill="1" applyBorder="1" applyAlignment="1">
      <alignment horizontal="center" vertical="center"/>
    </xf>
    <xf numFmtId="165" fontId="39" fillId="3" borderId="46" xfId="0" applyNumberFormat="1" applyFont="1" applyFill="1" applyBorder="1" applyAlignment="1">
      <alignment horizontal="center" vertical="center"/>
    </xf>
    <xf numFmtId="165" fontId="39" fillId="4" borderId="46" xfId="0" applyNumberFormat="1" applyFont="1" applyFill="1" applyBorder="1" applyAlignment="1">
      <alignment horizontal="center" vertical="center"/>
    </xf>
    <xf numFmtId="0" fontId="0" fillId="7" borderId="41" xfId="0" applyFill="1" applyBorder="1" applyAlignment="1" applyProtection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0" fillId="6" borderId="59" xfId="0" applyFill="1" applyBorder="1" applyAlignment="1">
      <alignment horizontal="center" vertical="center"/>
    </xf>
    <xf numFmtId="0" fontId="8" fillId="8" borderId="44" xfId="0" applyFont="1" applyFill="1" applyBorder="1" applyAlignment="1" applyProtection="1">
      <alignment horizontal="center" vertical="center"/>
      <protection locked="0"/>
    </xf>
    <xf numFmtId="0" fontId="0" fillId="8" borderId="44" xfId="0" applyFill="1" applyBorder="1" applyAlignment="1" applyProtection="1">
      <alignment horizontal="center" vertical="center"/>
    </xf>
    <xf numFmtId="0" fontId="0" fillId="8" borderId="44" xfId="0" applyFill="1" applyBorder="1" applyAlignment="1" applyProtection="1">
      <alignment horizontal="left" vertical="center" indent="1"/>
    </xf>
    <xf numFmtId="0" fontId="0" fillId="8" borderId="46" xfId="0" applyFill="1" applyBorder="1" applyAlignment="1" applyProtection="1">
      <alignment horizontal="left" vertical="center" indent="1"/>
    </xf>
    <xf numFmtId="0" fontId="8" fillId="5" borderId="29" xfId="0" applyFont="1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7" fillId="5" borderId="48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/>
    </xf>
    <xf numFmtId="0" fontId="0" fillId="5" borderId="54" xfId="0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165" fontId="0" fillId="0" borderId="1" xfId="0" applyNumberForma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2" fontId="0" fillId="7" borderId="35" xfId="0" applyNumberFormat="1" applyFill="1" applyBorder="1" applyAlignment="1" applyProtection="1">
      <alignment horizontal="center" vertical="center"/>
    </xf>
    <xf numFmtId="0" fontId="0" fillId="9" borderId="0" xfId="0" applyFill="1" applyProtection="1"/>
    <xf numFmtId="0" fontId="0" fillId="9" borderId="0" xfId="0" applyFill="1"/>
    <xf numFmtId="0" fontId="0" fillId="9" borderId="0" xfId="0" applyFill="1" applyAlignment="1" applyProtection="1">
      <alignment vertical="center"/>
    </xf>
    <xf numFmtId="0" fontId="0" fillId="9" borderId="0" xfId="0" applyFill="1" applyAlignment="1">
      <alignment vertical="center"/>
    </xf>
    <xf numFmtId="0" fontId="0" fillId="9" borderId="0" xfId="0" applyFill="1" applyAlignment="1" applyProtection="1">
      <alignment horizontal="center"/>
    </xf>
    <xf numFmtId="0" fontId="0" fillId="9" borderId="0" xfId="0" applyFill="1" applyBorder="1" applyProtection="1"/>
    <xf numFmtId="0" fontId="17" fillId="9" borderId="0" xfId="0" applyFont="1" applyFill="1" applyBorder="1" applyAlignment="1" applyProtection="1">
      <alignment horizontal="center" vertical="center"/>
    </xf>
    <xf numFmtId="0" fontId="48" fillId="9" borderId="0" xfId="0" applyFont="1" applyFill="1" applyBorder="1" applyAlignment="1" applyProtection="1">
      <alignment horizontal="center" vertical="center" wrapText="1"/>
    </xf>
    <xf numFmtId="0" fontId="0" fillId="9" borderId="0" xfId="0" applyFill="1" applyBorder="1" applyAlignment="1">
      <alignment horizontal="center" wrapText="1"/>
    </xf>
    <xf numFmtId="0" fontId="7" fillId="9" borderId="0" xfId="0" applyFont="1" applyFill="1" applyBorder="1" applyAlignment="1" applyProtection="1">
      <alignment horizontal="center" vertical="center"/>
    </xf>
    <xf numFmtId="165" fontId="45" fillId="9" borderId="0" xfId="0" applyNumberFormat="1" applyFont="1" applyFill="1" applyBorder="1" applyAlignment="1" applyProtection="1">
      <alignment horizontal="center" vertical="center"/>
      <protection locked="0"/>
    </xf>
    <xf numFmtId="0" fontId="0" fillId="9" borderId="0" xfId="0" applyFill="1" applyBorder="1" applyAlignment="1" applyProtection="1">
      <alignment horizontal="center" vertical="center"/>
    </xf>
    <xf numFmtId="0" fontId="0" fillId="9" borderId="40" xfId="0" applyFont="1" applyFill="1" applyBorder="1" applyAlignment="1" applyProtection="1">
      <alignment horizontal="left" vertical="center" wrapText="1"/>
    </xf>
    <xf numFmtId="0" fontId="0" fillId="6" borderId="22" xfId="0" applyFill="1" applyBorder="1" applyAlignment="1" applyProtection="1">
      <alignment horizontal="left" vertical="center" indent="1"/>
    </xf>
    <xf numFmtId="0" fontId="17" fillId="7" borderId="0" xfId="0" applyFont="1" applyFill="1" applyBorder="1" applyAlignment="1" applyProtection="1">
      <alignment horizontal="left" vertical="center" wrapText="1"/>
    </xf>
    <xf numFmtId="0" fontId="17" fillId="7" borderId="41" xfId="0" applyFont="1" applyFill="1" applyBorder="1" applyAlignment="1" applyProtection="1">
      <alignment horizontal="left" vertical="center" wrapText="1"/>
    </xf>
    <xf numFmtId="0" fontId="11" fillId="8" borderId="17" xfId="0" applyFont="1" applyFill="1" applyBorder="1" applyAlignment="1" applyProtection="1">
      <alignment horizontal="center" vertical="center"/>
    </xf>
    <xf numFmtId="2" fontId="0" fillId="7" borderId="0" xfId="0" applyNumberFormat="1" applyFill="1" applyBorder="1" applyAlignment="1" applyProtection="1">
      <alignment horizontal="center" vertical="center"/>
    </xf>
    <xf numFmtId="2" fontId="0" fillId="7" borderId="36" xfId="0" applyNumberFormat="1" applyFill="1" applyBorder="1" applyAlignment="1" applyProtection="1">
      <alignment horizontal="center" vertical="center"/>
    </xf>
    <xf numFmtId="165" fontId="0" fillId="7" borderId="0" xfId="0" applyNumberFormat="1" applyFill="1" applyBorder="1" applyAlignment="1" applyProtection="1">
      <alignment horizontal="center" vertical="center"/>
    </xf>
    <xf numFmtId="165" fontId="0" fillId="7" borderId="0" xfId="0" applyNumberFormat="1" applyFill="1" applyBorder="1" applyAlignment="1" applyProtection="1">
      <alignment horizontal="center" vertical="center"/>
    </xf>
    <xf numFmtId="2" fontId="24" fillId="9" borderId="45" xfId="0" applyNumberFormat="1" applyFont="1" applyFill="1" applyBorder="1" applyAlignment="1" applyProtection="1">
      <alignment horizontal="center" vertical="center"/>
      <protection locked="0"/>
    </xf>
    <xf numFmtId="2" fontId="24" fillId="9" borderId="46" xfId="0" applyNumberFormat="1" applyFont="1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left" vertical="center" indent="1"/>
    </xf>
    <xf numFmtId="0" fontId="0" fillId="6" borderId="14" xfId="0" applyFill="1" applyBorder="1" applyAlignment="1" applyProtection="1">
      <alignment horizontal="left" vertical="center" indent="1"/>
    </xf>
    <xf numFmtId="0" fontId="0" fillId="6" borderId="20" xfId="0" applyFill="1" applyBorder="1" applyAlignment="1" applyProtection="1">
      <alignment horizontal="left" vertical="center" indent="1"/>
    </xf>
    <xf numFmtId="0" fontId="17" fillId="7" borderId="38" xfId="0" applyFont="1" applyFill="1" applyBorder="1" applyAlignment="1" applyProtection="1">
      <alignment horizontal="left" vertical="center" wrapText="1"/>
    </xf>
    <xf numFmtId="0" fontId="17" fillId="7" borderId="2" xfId="0" applyFont="1" applyFill="1" applyBorder="1" applyAlignment="1" applyProtection="1">
      <alignment horizontal="left" vertical="center" wrapText="1"/>
    </xf>
    <xf numFmtId="0" fontId="17" fillId="7" borderId="39" xfId="0" applyFont="1" applyFill="1" applyBorder="1" applyAlignment="1" applyProtection="1">
      <alignment horizontal="left" vertical="center" wrapText="1"/>
    </xf>
    <xf numFmtId="2" fontId="0" fillId="7" borderId="0" xfId="0" applyNumberFormat="1" applyFill="1" applyBorder="1" applyAlignment="1" applyProtection="1">
      <alignment horizontal="center" vertical="center"/>
    </xf>
    <xf numFmtId="2" fontId="0" fillId="6" borderId="45" xfId="0" applyNumberFormat="1" applyFill="1" applyBorder="1" applyAlignment="1">
      <alignment horizontal="center" vertical="center"/>
    </xf>
    <xf numFmtId="2" fontId="0" fillId="6" borderId="46" xfId="0" applyNumberFormat="1" applyFill="1" applyBorder="1" applyAlignment="1">
      <alignment horizontal="center" vertical="center"/>
    </xf>
    <xf numFmtId="2" fontId="0" fillId="0" borderId="45" xfId="0" applyNumberFormat="1" applyFill="1" applyBorder="1" applyAlignment="1" applyProtection="1">
      <alignment horizontal="center" vertical="center"/>
      <protection locked="0"/>
    </xf>
    <xf numFmtId="2" fontId="0" fillId="0" borderId="46" xfId="0" applyNumberFormat="1" applyFill="1" applyBorder="1" applyAlignment="1" applyProtection="1">
      <alignment horizontal="center" vertical="center"/>
      <protection locked="0"/>
    </xf>
    <xf numFmtId="0" fontId="0" fillId="7" borderId="34" xfId="0" applyFill="1" applyBorder="1" applyAlignment="1" applyProtection="1">
      <alignment horizontal="left" wrapText="1" indent="1"/>
    </xf>
    <xf numFmtId="0" fontId="0" fillId="7" borderId="36" xfId="0" applyFill="1" applyBorder="1" applyAlignment="1" applyProtection="1">
      <alignment horizontal="left" wrapText="1" indent="1"/>
    </xf>
    <xf numFmtId="0" fontId="0" fillId="7" borderId="37" xfId="0" applyFill="1" applyBorder="1" applyAlignment="1" applyProtection="1">
      <alignment horizontal="left" wrapText="1" indent="1"/>
    </xf>
    <xf numFmtId="0" fontId="11" fillId="8" borderId="45" xfId="0" applyFont="1" applyFill="1" applyBorder="1" applyAlignment="1" applyProtection="1">
      <alignment horizontal="left" vertical="center"/>
    </xf>
    <xf numFmtId="0" fontId="11" fillId="8" borderId="44" xfId="0" applyFont="1" applyFill="1" applyBorder="1" applyAlignment="1" applyProtection="1">
      <alignment horizontal="left" vertical="center"/>
    </xf>
    <xf numFmtId="0" fontId="11" fillId="8" borderId="50" xfId="0" applyFont="1" applyFill="1" applyBorder="1" applyAlignment="1" applyProtection="1">
      <alignment horizontal="left" vertical="center"/>
    </xf>
    <xf numFmtId="0" fontId="11" fillId="8" borderId="44" xfId="0" applyFont="1" applyFill="1" applyBorder="1" applyAlignment="1" applyProtection="1">
      <alignment horizontal="center" vertical="center"/>
    </xf>
    <xf numFmtId="0" fontId="11" fillId="8" borderId="46" xfId="0" applyFont="1" applyFill="1" applyBorder="1" applyAlignment="1" applyProtection="1">
      <alignment horizontal="center" vertical="center"/>
    </xf>
    <xf numFmtId="0" fontId="0" fillId="7" borderId="7" xfId="0" applyFill="1" applyBorder="1" applyAlignment="1" applyProtection="1">
      <alignment horizontal="left" vertical="center" wrapText="1"/>
    </xf>
    <xf numFmtId="0" fontId="0" fillId="7" borderId="0" xfId="0" applyFill="1" applyBorder="1" applyAlignment="1" applyProtection="1">
      <alignment horizontal="left" vertical="center" wrapText="1"/>
    </xf>
    <xf numFmtId="0" fontId="0" fillId="7" borderId="41" xfId="0" applyFill="1" applyBorder="1" applyAlignment="1" applyProtection="1">
      <alignment horizontal="left" vertical="center" wrapText="1"/>
    </xf>
    <xf numFmtId="0" fontId="11" fillId="8" borderId="29" xfId="0" applyFont="1" applyFill="1" applyBorder="1" applyAlignment="1" applyProtection="1">
      <alignment horizontal="center"/>
    </xf>
    <xf numFmtId="0" fontId="11" fillId="8" borderId="17" xfId="0" applyFont="1" applyFill="1" applyBorder="1" applyAlignment="1" applyProtection="1">
      <alignment horizontal="center"/>
    </xf>
    <xf numFmtId="0" fontId="11" fillId="8" borderId="18" xfId="0" applyFont="1" applyFill="1" applyBorder="1" applyAlignment="1" applyProtection="1">
      <alignment horizontal="center"/>
    </xf>
    <xf numFmtId="0" fontId="0" fillId="6" borderId="13" xfId="0" applyFont="1" applyFill="1" applyBorder="1" applyAlignment="1" applyProtection="1">
      <alignment horizontal="left" vertical="center" indent="1"/>
    </xf>
    <xf numFmtId="0" fontId="0" fillId="6" borderId="14" xfId="0" applyFont="1" applyFill="1" applyBorder="1" applyAlignment="1" applyProtection="1">
      <alignment horizontal="left" vertical="center" indent="1"/>
    </xf>
    <xf numFmtId="0" fontId="0" fillId="6" borderId="20" xfId="0" applyFont="1" applyFill="1" applyBorder="1" applyAlignment="1" applyProtection="1">
      <alignment horizontal="left" vertical="center" indent="1"/>
    </xf>
    <xf numFmtId="1" fontId="24" fillId="7" borderId="36" xfId="0" applyNumberFormat="1" applyFont="1" applyFill="1" applyBorder="1" applyAlignment="1" applyProtection="1">
      <alignment horizontal="center" vertical="center"/>
    </xf>
    <xf numFmtId="1" fontId="0" fillId="7" borderId="0" xfId="0" applyNumberFormat="1" applyFill="1" applyBorder="1" applyAlignment="1" applyProtection="1">
      <alignment horizontal="center" vertical="center"/>
    </xf>
    <xf numFmtId="1" fontId="0" fillId="9" borderId="45" xfId="0" applyNumberFormat="1" applyFill="1" applyBorder="1" applyAlignment="1" applyProtection="1">
      <alignment horizontal="center" vertical="center"/>
      <protection locked="0"/>
    </xf>
    <xf numFmtId="1" fontId="0" fillId="9" borderId="46" xfId="0" applyNumberFormat="1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left" vertical="center" wrapText="1" indent="1"/>
    </xf>
    <xf numFmtId="0" fontId="0" fillId="6" borderId="14" xfId="0" applyFill="1" applyBorder="1" applyAlignment="1" applyProtection="1">
      <alignment horizontal="left" vertical="center" wrapText="1" indent="1"/>
    </xf>
    <xf numFmtId="0" fontId="0" fillId="6" borderId="20" xfId="0" applyFill="1" applyBorder="1" applyAlignment="1" applyProtection="1">
      <alignment horizontal="left" vertical="center" wrapText="1" indent="1"/>
    </xf>
    <xf numFmtId="2" fontId="0" fillId="7" borderId="0" xfId="0" applyNumberFormat="1" applyFont="1" applyFill="1" applyBorder="1" applyAlignment="1" applyProtection="1">
      <alignment horizontal="center" vertical="center" wrapText="1"/>
    </xf>
    <xf numFmtId="165" fontId="35" fillId="9" borderId="45" xfId="0" applyNumberFormat="1" applyFont="1" applyFill="1" applyBorder="1" applyAlignment="1" applyProtection="1">
      <alignment horizontal="center" vertical="center"/>
      <protection locked="0"/>
    </xf>
    <xf numFmtId="165" fontId="35" fillId="9" borderId="46" xfId="0" applyNumberFormat="1" applyFont="1" applyFill="1" applyBorder="1" applyAlignment="1" applyProtection="1">
      <alignment horizontal="center" vertical="center"/>
      <protection locked="0"/>
    </xf>
    <xf numFmtId="0" fontId="0" fillId="6" borderId="29" xfId="0" applyFill="1" applyBorder="1" applyAlignment="1" applyProtection="1">
      <alignment horizontal="left" vertical="center" indent="1"/>
    </xf>
    <xf numFmtId="0" fontId="0" fillId="6" borderId="17" xfId="0" applyFill="1" applyBorder="1" applyAlignment="1" applyProtection="1">
      <alignment horizontal="left" vertical="center" indent="1"/>
    </xf>
    <xf numFmtId="0" fontId="0" fillId="6" borderId="18" xfId="0" applyFill="1" applyBorder="1" applyAlignment="1" applyProtection="1">
      <alignment horizontal="left" vertical="center" indent="1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2" fontId="0" fillId="7" borderId="36" xfId="0" applyNumberFormat="1" applyFill="1" applyBorder="1" applyAlignment="1" applyProtection="1">
      <alignment horizontal="center" vertical="center"/>
    </xf>
    <xf numFmtId="0" fontId="0" fillId="7" borderId="7" xfId="0" applyFill="1" applyBorder="1" applyAlignment="1" applyProtection="1">
      <alignment horizontal="left" vertical="center" wrapText="1" indent="1"/>
    </xf>
    <xf numFmtId="0" fontId="0" fillId="7" borderId="0" xfId="0" applyFill="1" applyBorder="1" applyAlignment="1" applyProtection="1">
      <alignment horizontal="left" vertical="center" wrapText="1" indent="1"/>
    </xf>
    <xf numFmtId="0" fontId="27" fillId="10" borderId="45" xfId="0" applyFont="1" applyFill="1" applyBorder="1" applyAlignment="1" applyProtection="1">
      <alignment horizontal="center" vertical="center"/>
    </xf>
    <xf numFmtId="0" fontId="27" fillId="10" borderId="44" xfId="0" applyFont="1" applyFill="1" applyBorder="1" applyAlignment="1" applyProtection="1">
      <alignment horizontal="center" vertical="center"/>
    </xf>
    <xf numFmtId="0" fontId="27" fillId="10" borderId="46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left" vertical="center" indent="1"/>
    </xf>
    <xf numFmtId="0" fontId="0" fillId="6" borderId="5" xfId="0" applyFill="1" applyBorder="1" applyAlignment="1" applyProtection="1">
      <alignment horizontal="left" vertical="center" indent="1"/>
    </xf>
    <xf numFmtId="0" fontId="0" fillId="6" borderId="31" xfId="0" applyFill="1" applyBorder="1" applyAlignment="1" applyProtection="1">
      <alignment horizontal="left" vertical="center" indent="1"/>
    </xf>
    <xf numFmtId="0" fontId="0" fillId="6" borderId="43" xfId="0" applyFill="1" applyBorder="1" applyAlignment="1" applyProtection="1">
      <alignment horizontal="left" vertical="center" indent="1"/>
    </xf>
    <xf numFmtId="0" fontId="0" fillId="6" borderId="22" xfId="0" applyFill="1" applyBorder="1" applyAlignment="1" applyProtection="1">
      <alignment horizontal="left" vertical="center" indent="1"/>
    </xf>
    <xf numFmtId="0" fontId="0" fillId="6" borderId="23" xfId="0" applyFill="1" applyBorder="1" applyAlignment="1" applyProtection="1">
      <alignment horizontal="left" vertical="center" indent="1"/>
    </xf>
    <xf numFmtId="0" fontId="17" fillId="7" borderId="40" xfId="0" applyFont="1" applyFill="1" applyBorder="1" applyAlignment="1" applyProtection="1">
      <alignment horizontal="left" vertical="center" wrapText="1"/>
    </xf>
    <xf numFmtId="0" fontId="17" fillId="7" borderId="0" xfId="0" applyFont="1" applyFill="1" applyBorder="1" applyAlignment="1" applyProtection="1">
      <alignment horizontal="left" vertical="center" wrapText="1"/>
    </xf>
    <xf numFmtId="0" fontId="17" fillId="7" borderId="41" xfId="0" applyFont="1" applyFill="1" applyBorder="1" applyAlignment="1" applyProtection="1">
      <alignment horizontal="left" vertical="center" wrapText="1"/>
    </xf>
    <xf numFmtId="0" fontId="11" fillId="8" borderId="29" xfId="0" applyFont="1" applyFill="1" applyBorder="1" applyAlignment="1" applyProtection="1">
      <alignment horizontal="center" vertical="center"/>
    </xf>
    <xf numFmtId="0" fontId="11" fillId="8" borderId="17" xfId="0" applyFont="1" applyFill="1" applyBorder="1" applyAlignment="1" applyProtection="1">
      <alignment horizontal="center" vertical="center"/>
    </xf>
    <xf numFmtId="0" fontId="11" fillId="8" borderId="18" xfId="0" applyFont="1" applyFill="1" applyBorder="1" applyAlignment="1" applyProtection="1">
      <alignment horizontal="center" vertical="center"/>
    </xf>
    <xf numFmtId="0" fontId="0" fillId="6" borderId="13" xfId="0" applyFill="1" applyBorder="1" applyAlignment="1">
      <alignment horizontal="left" vertical="center" indent="1"/>
    </xf>
    <xf numFmtId="0" fontId="0" fillId="6" borderId="14" xfId="0" applyFill="1" applyBorder="1" applyAlignment="1">
      <alignment horizontal="left" vertical="center" indent="1"/>
    </xf>
    <xf numFmtId="0" fontId="0" fillId="6" borderId="20" xfId="0" applyFill="1" applyBorder="1" applyAlignment="1">
      <alignment horizontal="left" vertical="center" indent="1"/>
    </xf>
    <xf numFmtId="0" fontId="21" fillId="11" borderId="45" xfId="0" applyFont="1" applyFill="1" applyBorder="1" applyAlignment="1" applyProtection="1">
      <alignment horizontal="center" vertical="center" wrapText="1"/>
    </xf>
    <xf numFmtId="0" fontId="12" fillId="11" borderId="44" xfId="0" applyFont="1" applyFill="1" applyBorder="1" applyAlignment="1" applyProtection="1">
      <alignment horizontal="center" vertical="center"/>
    </xf>
    <xf numFmtId="0" fontId="12" fillId="11" borderId="46" xfId="0" applyFont="1" applyFill="1" applyBorder="1" applyAlignment="1" applyProtection="1">
      <alignment horizontal="center" vertical="center"/>
    </xf>
    <xf numFmtId="0" fontId="28" fillId="12" borderId="45" xfId="0" applyFont="1" applyFill="1" applyBorder="1" applyAlignment="1" applyProtection="1">
      <alignment horizontal="center" vertical="center"/>
    </xf>
    <xf numFmtId="0" fontId="28" fillId="12" borderId="44" xfId="0" applyFont="1" applyFill="1" applyBorder="1" applyAlignment="1" applyProtection="1">
      <alignment horizontal="center" vertical="center"/>
    </xf>
    <xf numFmtId="0" fontId="28" fillId="12" borderId="46" xfId="0" applyFont="1" applyFill="1" applyBorder="1" applyAlignment="1" applyProtection="1">
      <alignment horizontal="center" vertical="center"/>
    </xf>
    <xf numFmtId="0" fontId="8" fillId="0" borderId="38" xfId="0" applyFont="1" applyFill="1" applyBorder="1" applyAlignment="1" applyProtection="1">
      <alignment horizontal="center" vertical="center"/>
      <protection locked="0"/>
    </xf>
    <xf numFmtId="0" fontId="8" fillId="0" borderId="39" xfId="0" applyFont="1" applyFill="1" applyBorder="1" applyAlignment="1" applyProtection="1">
      <alignment horizontal="center" vertical="center"/>
      <protection locked="0"/>
    </xf>
    <xf numFmtId="0" fontId="21" fillId="11" borderId="42" xfId="0" applyFont="1" applyFill="1" applyBorder="1" applyAlignment="1" applyProtection="1">
      <alignment horizontal="center" vertical="center" wrapText="1"/>
    </xf>
    <xf numFmtId="0" fontId="12" fillId="11" borderId="36" xfId="0" applyFont="1" applyFill="1" applyBorder="1" applyAlignment="1" applyProtection="1">
      <alignment horizontal="center" vertical="center"/>
    </xf>
    <xf numFmtId="0" fontId="12" fillId="11" borderId="37" xfId="0" applyFont="1" applyFill="1" applyBorder="1" applyAlignment="1" applyProtection="1">
      <alignment horizontal="center" vertical="center"/>
    </xf>
    <xf numFmtId="0" fontId="35" fillId="6" borderId="13" xfId="0" applyFont="1" applyFill="1" applyBorder="1" applyAlignment="1" applyProtection="1">
      <alignment horizontal="left" indent="1"/>
    </xf>
    <xf numFmtId="0" fontId="35" fillId="6" borderId="14" xfId="0" applyFont="1" applyFill="1" applyBorder="1" applyAlignment="1" applyProtection="1">
      <alignment horizontal="left" indent="1"/>
    </xf>
    <xf numFmtId="0" fontId="35" fillId="6" borderId="20" xfId="0" applyFont="1" applyFill="1" applyBorder="1" applyAlignment="1" applyProtection="1">
      <alignment horizontal="left" indent="1"/>
    </xf>
    <xf numFmtId="0" fontId="0" fillId="6" borderId="13" xfId="0" applyFill="1" applyBorder="1" applyAlignment="1" applyProtection="1">
      <alignment horizontal="left" vertical="center"/>
    </xf>
    <xf numFmtId="0" fontId="0" fillId="6" borderId="14" xfId="0" applyFill="1" applyBorder="1" applyAlignment="1" applyProtection="1">
      <alignment horizontal="left" vertical="center"/>
    </xf>
    <xf numFmtId="0" fontId="0" fillId="6" borderId="20" xfId="0" applyFill="1" applyBorder="1" applyAlignment="1" applyProtection="1">
      <alignment horizontal="left" vertical="center"/>
    </xf>
    <xf numFmtId="0" fontId="19" fillId="10" borderId="45" xfId="0" applyFont="1" applyFill="1" applyBorder="1" applyAlignment="1">
      <alignment horizontal="center" vertical="center"/>
    </xf>
    <xf numFmtId="0" fontId="19" fillId="10" borderId="44" xfId="0" applyFont="1" applyFill="1" applyBorder="1" applyAlignment="1">
      <alignment horizontal="center" vertical="center"/>
    </xf>
    <xf numFmtId="0" fontId="19" fillId="10" borderId="4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9" fillId="8" borderId="17" xfId="0" applyFont="1" applyFill="1" applyBorder="1" applyAlignment="1">
      <alignment horizontal="center"/>
    </xf>
    <xf numFmtId="0" fontId="9" fillId="8" borderId="18" xfId="0" applyFont="1" applyFill="1" applyBorder="1" applyAlignment="1">
      <alignment horizontal="center"/>
    </xf>
    <xf numFmtId="0" fontId="19" fillId="10" borderId="36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7" fillId="5" borderId="57" xfId="0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10" fillId="9" borderId="0" xfId="0" applyFont="1" applyFill="1" applyProtection="1"/>
    <xf numFmtId="0" fontId="10" fillId="9" borderId="0" xfId="0" applyFont="1" applyFill="1"/>
    <xf numFmtId="0" fontId="47" fillId="9" borderId="0" xfId="0" applyFont="1" applyFill="1" applyProtection="1"/>
    <xf numFmtId="0" fontId="47" fillId="9" borderId="0" xfId="0" applyFont="1" applyFill="1" applyBorder="1" applyAlignment="1" applyProtection="1"/>
    <xf numFmtId="0" fontId="47" fillId="9" borderId="0" xfId="0" applyFont="1" applyFill="1" applyAlignment="1" applyProtection="1"/>
    <xf numFmtId="0" fontId="7" fillId="9" borderId="0" xfId="0" applyFont="1" applyFill="1" applyAlignment="1" applyProtection="1">
      <alignment horizontal="left"/>
    </xf>
    <xf numFmtId="0" fontId="0" fillId="9" borderId="0" xfId="0" applyFill="1" applyBorder="1" applyAlignment="1" applyProtection="1">
      <alignment horizontal="left" indent="1"/>
    </xf>
    <xf numFmtId="0" fontId="7" fillId="9" borderId="0" xfId="0" applyFont="1" applyFill="1" applyAlignment="1" applyProtection="1">
      <alignment horizontal="center"/>
    </xf>
    <xf numFmtId="0" fontId="8" fillId="9" borderId="0" xfId="0" applyFont="1" applyFill="1" applyAlignment="1" applyProtection="1">
      <alignment horizontal="center"/>
    </xf>
    <xf numFmtId="2" fontId="0" fillId="9" borderId="0" xfId="0" applyNumberFormat="1" applyFill="1" applyAlignment="1" applyProtection="1">
      <alignment horizontal="center"/>
    </xf>
    <xf numFmtId="2" fontId="8" fillId="9" borderId="0" xfId="0" applyNumberFormat="1" applyFont="1" applyFill="1" applyAlignment="1" applyProtection="1">
      <alignment horizontal="center"/>
    </xf>
    <xf numFmtId="0" fontId="15" fillId="9" borderId="0" xfId="0" applyFont="1" applyFill="1" applyAlignment="1" applyProtection="1">
      <alignment horizontal="center"/>
    </xf>
    <xf numFmtId="0" fontId="0" fillId="9" borderId="0" xfId="0" applyFill="1" applyBorder="1"/>
    <xf numFmtId="0" fontId="10" fillId="9" borderId="0" xfId="0" applyFont="1" applyFill="1" applyBorder="1" applyProtection="1"/>
    <xf numFmtId="0" fontId="10" fillId="9" borderId="0" xfId="0" applyFont="1" applyFill="1" applyBorder="1"/>
    <xf numFmtId="0" fontId="0" fillId="9" borderId="0" xfId="0" applyFill="1" applyBorder="1" applyAlignment="1" applyProtection="1">
      <alignment horizontal="center" vertical="top"/>
    </xf>
    <xf numFmtId="0" fontId="0" fillId="9" borderId="0" xfId="0" applyFill="1" applyBorder="1" applyAlignment="1">
      <alignment horizontal="center" vertical="top"/>
    </xf>
    <xf numFmtId="0" fontId="0" fillId="9" borderId="0" xfId="0" applyFill="1" applyBorder="1" applyAlignment="1" applyProtection="1">
      <alignment vertical="center"/>
    </xf>
    <xf numFmtId="0" fontId="0" fillId="9" borderId="0" xfId="0" applyFill="1" applyBorder="1" applyAlignment="1">
      <alignment vertical="center"/>
    </xf>
    <xf numFmtId="0" fontId="0" fillId="9" borderId="0" xfId="0" applyFill="1" applyAlignment="1" applyProtection="1">
      <alignment horizontal="left" indent="1"/>
    </xf>
    <xf numFmtId="0" fontId="7" fillId="9" borderId="0" xfId="0" applyFont="1" applyFill="1" applyAlignment="1" applyProtection="1">
      <alignment horizontal="left" indent="1"/>
    </xf>
    <xf numFmtId="0" fontId="0" fillId="9" borderId="0" xfId="0" applyFill="1" applyBorder="1" applyAlignment="1">
      <alignment horizontal="left" indent="1"/>
    </xf>
    <xf numFmtId="0" fontId="7" fillId="9" borderId="0" xfId="0" applyFont="1" applyFill="1" applyBorder="1" applyAlignment="1">
      <alignment horizontal="left" indent="1"/>
    </xf>
    <xf numFmtId="0" fontId="56" fillId="9" borderId="0" xfId="0" applyFont="1" applyFill="1" applyBorder="1"/>
    <xf numFmtId="0" fontId="57" fillId="9" borderId="0" xfId="0" applyFont="1" applyFill="1" applyBorder="1"/>
    <xf numFmtId="0" fontId="56" fillId="9" borderId="0" xfId="0" applyFont="1" applyFill="1" applyBorder="1" applyProtection="1"/>
    <xf numFmtId="2" fontId="56" fillId="9" borderId="0" xfId="0" applyNumberFormat="1" applyFont="1" applyFill="1" applyBorder="1"/>
    <xf numFmtId="0" fontId="56" fillId="9" borderId="0" xfId="0" applyFont="1" applyFill="1" applyBorder="1" applyAlignment="1">
      <alignment horizontal="center" vertical="center"/>
    </xf>
    <xf numFmtId="0" fontId="56" fillId="9" borderId="0" xfId="0" applyFont="1" applyFill="1" applyBorder="1" applyAlignment="1" applyProtection="1">
      <alignment horizontal="center" vertical="center"/>
      <protection locked="0"/>
    </xf>
    <xf numFmtId="0" fontId="58" fillId="9" borderId="0" xfId="0" applyFont="1" applyFill="1" applyBorder="1" applyAlignment="1">
      <alignment horizontal="center" vertical="center"/>
    </xf>
    <xf numFmtId="0" fontId="56" fillId="9" borderId="0" xfId="0" applyFont="1" applyFill="1" applyBorder="1" applyAlignment="1" applyProtection="1">
      <alignment horizontal="center" vertical="top"/>
    </xf>
    <xf numFmtId="0" fontId="60" fillId="9" borderId="0" xfId="0" applyFont="1" applyFill="1" applyBorder="1" applyAlignment="1" applyProtection="1">
      <alignment horizontal="center" vertical="center"/>
    </xf>
    <xf numFmtId="0" fontId="56" fillId="9" borderId="0" xfId="0" applyFont="1" applyFill="1" applyBorder="1" applyAlignment="1">
      <alignment horizontal="center" vertical="top"/>
    </xf>
    <xf numFmtId="2" fontId="56" fillId="9" borderId="0" xfId="0" applyNumberFormat="1" applyFont="1" applyFill="1" applyBorder="1" applyAlignment="1" applyProtection="1">
      <alignment horizontal="center" vertical="top"/>
    </xf>
    <xf numFmtId="2" fontId="61" fillId="9" borderId="0" xfId="0" applyNumberFormat="1" applyFont="1" applyFill="1" applyBorder="1" applyAlignment="1">
      <alignment horizontal="center" vertical="top"/>
    </xf>
    <xf numFmtId="0" fontId="58" fillId="9" borderId="0" xfId="0" applyFont="1" applyFill="1" applyBorder="1" applyAlignment="1">
      <alignment horizontal="center" vertical="top"/>
    </xf>
    <xf numFmtId="164" fontId="61" fillId="9" borderId="0" xfId="0" applyNumberFormat="1" applyFont="1" applyFill="1" applyBorder="1" applyAlignment="1">
      <alignment horizontal="center" vertical="top"/>
    </xf>
    <xf numFmtId="165" fontId="61" fillId="9" borderId="0" xfId="0" applyNumberFormat="1" applyFont="1" applyFill="1" applyBorder="1" applyAlignment="1">
      <alignment horizontal="center" vertical="top"/>
    </xf>
    <xf numFmtId="165" fontId="56" fillId="9" borderId="0" xfId="0" applyNumberFormat="1" applyFont="1" applyFill="1" applyBorder="1" applyAlignment="1">
      <alignment horizontal="center" vertical="top"/>
    </xf>
    <xf numFmtId="165" fontId="61" fillId="9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9987636396"/>
          <c:y val="8.3828380512838585E-2"/>
          <c:w val="0.85889098038252787"/>
          <c:h val="0.80256947747303398"/>
        </c:manualLayout>
      </c:layout>
      <c:scatterChart>
        <c:scatterStyle val="lineMarker"/>
        <c:varyColors val="0"/>
        <c:ser>
          <c:idx val="1"/>
          <c:order val="0"/>
          <c:tx>
            <c:v>ILpk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Design!$U$31:$FE$31</c:f>
              <c:numCache>
                <c:formatCode>0.00</c:formatCode>
                <c:ptCount val="141"/>
                <c:pt idx="0">
                  <c:v>5.5</c:v>
                </c:pt>
                <c:pt idx="1">
                  <c:v>5.7178571428571425</c:v>
                </c:pt>
                <c:pt idx="2">
                  <c:v>5.9357142857142851</c:v>
                </c:pt>
                <c:pt idx="3">
                  <c:v>6.1535714285714276</c:v>
                </c:pt>
                <c:pt idx="4">
                  <c:v>6.3714285714285701</c:v>
                </c:pt>
                <c:pt idx="5">
                  <c:v>6.5892857142857126</c:v>
                </c:pt>
                <c:pt idx="6">
                  <c:v>6.8071428571428552</c:v>
                </c:pt>
                <c:pt idx="7">
                  <c:v>7.0249999999999977</c:v>
                </c:pt>
                <c:pt idx="8">
                  <c:v>7.2428571428571402</c:v>
                </c:pt>
                <c:pt idx="9">
                  <c:v>7.4607142857142827</c:v>
                </c:pt>
                <c:pt idx="10">
                  <c:v>7.6785714285714253</c:v>
                </c:pt>
                <c:pt idx="11">
                  <c:v>7.8964285714285678</c:v>
                </c:pt>
                <c:pt idx="12">
                  <c:v>8.1142857142857103</c:v>
                </c:pt>
                <c:pt idx="13">
                  <c:v>8.3321428571428537</c:v>
                </c:pt>
                <c:pt idx="14">
                  <c:v>8.5499999999999972</c:v>
                </c:pt>
                <c:pt idx="15">
                  <c:v>8.7678571428571406</c:v>
                </c:pt>
                <c:pt idx="16">
                  <c:v>8.985714285714284</c:v>
                </c:pt>
                <c:pt idx="17">
                  <c:v>9.2035714285714274</c:v>
                </c:pt>
                <c:pt idx="18">
                  <c:v>9.4214285714285708</c:v>
                </c:pt>
                <c:pt idx="19">
                  <c:v>9.6392857142857142</c:v>
                </c:pt>
                <c:pt idx="20">
                  <c:v>9.8571428571428577</c:v>
                </c:pt>
                <c:pt idx="21">
                  <c:v>10.075000000000001</c:v>
                </c:pt>
                <c:pt idx="22">
                  <c:v>10.292857142857144</c:v>
                </c:pt>
                <c:pt idx="23">
                  <c:v>10.510714285714288</c:v>
                </c:pt>
                <c:pt idx="24">
                  <c:v>10.728571428571431</c:v>
                </c:pt>
                <c:pt idx="25">
                  <c:v>10.946428571428575</c:v>
                </c:pt>
                <c:pt idx="26">
                  <c:v>11.164285714285718</c:v>
                </c:pt>
                <c:pt idx="27">
                  <c:v>11.382142857142862</c:v>
                </c:pt>
                <c:pt idx="28">
                  <c:v>11.600000000000005</c:v>
                </c:pt>
                <c:pt idx="29">
                  <c:v>11.817857142857148</c:v>
                </c:pt>
                <c:pt idx="30">
                  <c:v>12.035714285714292</c:v>
                </c:pt>
                <c:pt idx="31">
                  <c:v>12.253571428571435</c:v>
                </c:pt>
                <c:pt idx="32">
                  <c:v>12.471428571428579</c:v>
                </c:pt>
                <c:pt idx="33">
                  <c:v>12.689285714285722</c:v>
                </c:pt>
                <c:pt idx="34">
                  <c:v>12.907142857142865</c:v>
                </c:pt>
                <c:pt idx="35">
                  <c:v>13.125000000000009</c:v>
                </c:pt>
                <c:pt idx="36">
                  <c:v>13.342857142857152</c:v>
                </c:pt>
                <c:pt idx="37">
                  <c:v>13.560714285714296</c:v>
                </c:pt>
                <c:pt idx="38">
                  <c:v>13.778571428571439</c:v>
                </c:pt>
                <c:pt idx="39">
                  <c:v>13.996428571428583</c:v>
                </c:pt>
                <c:pt idx="40">
                  <c:v>14.214285714285726</c:v>
                </c:pt>
                <c:pt idx="41">
                  <c:v>14.432142857142869</c:v>
                </c:pt>
                <c:pt idx="42">
                  <c:v>14.650000000000013</c:v>
                </c:pt>
                <c:pt idx="43">
                  <c:v>14.867857142857156</c:v>
                </c:pt>
                <c:pt idx="44">
                  <c:v>15.0857142857143</c:v>
                </c:pt>
                <c:pt idx="45">
                  <c:v>15.303571428571443</c:v>
                </c:pt>
                <c:pt idx="46">
                  <c:v>15.521428571428586</c:v>
                </c:pt>
                <c:pt idx="47">
                  <c:v>15.73928571428573</c:v>
                </c:pt>
                <c:pt idx="48">
                  <c:v>15.957142857142873</c:v>
                </c:pt>
                <c:pt idx="49">
                  <c:v>16.175000000000015</c:v>
                </c:pt>
                <c:pt idx="50">
                  <c:v>16.392857142857157</c:v>
                </c:pt>
                <c:pt idx="51">
                  <c:v>16.610714285714298</c:v>
                </c:pt>
                <c:pt idx="52">
                  <c:v>16.82857142857144</c:v>
                </c:pt>
                <c:pt idx="53">
                  <c:v>17.046428571428581</c:v>
                </c:pt>
                <c:pt idx="54">
                  <c:v>17.264285714285723</c:v>
                </c:pt>
                <c:pt idx="55">
                  <c:v>17.482142857142865</c:v>
                </c:pt>
                <c:pt idx="56">
                  <c:v>17.700000000000006</c:v>
                </c:pt>
                <c:pt idx="57">
                  <c:v>17.917857142857148</c:v>
                </c:pt>
                <c:pt idx="58">
                  <c:v>18.13571428571429</c:v>
                </c:pt>
                <c:pt idx="59">
                  <c:v>18.353571428571431</c:v>
                </c:pt>
                <c:pt idx="60">
                  <c:v>18.571428571428573</c:v>
                </c:pt>
                <c:pt idx="61">
                  <c:v>18.789285714285715</c:v>
                </c:pt>
                <c:pt idx="62">
                  <c:v>19.007142857142856</c:v>
                </c:pt>
                <c:pt idx="63">
                  <c:v>19.224999999999998</c:v>
                </c:pt>
                <c:pt idx="64">
                  <c:v>19.44285714285714</c:v>
                </c:pt>
                <c:pt idx="65">
                  <c:v>19.660714285714281</c:v>
                </c:pt>
                <c:pt idx="66">
                  <c:v>19.878571428571423</c:v>
                </c:pt>
                <c:pt idx="67">
                  <c:v>20.096428571428564</c:v>
                </c:pt>
                <c:pt idx="68">
                  <c:v>20.314285714285706</c:v>
                </c:pt>
                <c:pt idx="69">
                  <c:v>20.532142857142848</c:v>
                </c:pt>
                <c:pt idx="70">
                  <c:v>20.749999999999989</c:v>
                </c:pt>
                <c:pt idx="71">
                  <c:v>20.967857142857131</c:v>
                </c:pt>
                <c:pt idx="72">
                  <c:v>21.185714285714273</c:v>
                </c:pt>
                <c:pt idx="73">
                  <c:v>21.403571428571414</c:v>
                </c:pt>
                <c:pt idx="74">
                  <c:v>21.621428571428556</c:v>
                </c:pt>
                <c:pt idx="75">
                  <c:v>21.839285714285698</c:v>
                </c:pt>
                <c:pt idx="76">
                  <c:v>22.057142857142839</c:v>
                </c:pt>
                <c:pt idx="77">
                  <c:v>22.274999999999981</c:v>
                </c:pt>
                <c:pt idx="78">
                  <c:v>22.492857142857122</c:v>
                </c:pt>
                <c:pt idx="79">
                  <c:v>22.710714285714264</c:v>
                </c:pt>
                <c:pt idx="80">
                  <c:v>22.928571428571406</c:v>
                </c:pt>
                <c:pt idx="81">
                  <c:v>23.146428571428547</c:v>
                </c:pt>
                <c:pt idx="82">
                  <c:v>23.364285714285689</c:v>
                </c:pt>
                <c:pt idx="83">
                  <c:v>23.582142857142831</c:v>
                </c:pt>
                <c:pt idx="84">
                  <c:v>23.799999999999972</c:v>
                </c:pt>
                <c:pt idx="85">
                  <c:v>24.017857142857114</c:v>
                </c:pt>
                <c:pt idx="86">
                  <c:v>24.235714285714256</c:v>
                </c:pt>
                <c:pt idx="87">
                  <c:v>24.453571428571397</c:v>
                </c:pt>
                <c:pt idx="88">
                  <c:v>24.671428571428539</c:v>
                </c:pt>
                <c:pt idx="89">
                  <c:v>24.88928571428568</c:v>
                </c:pt>
                <c:pt idx="90">
                  <c:v>25.107142857142822</c:v>
                </c:pt>
                <c:pt idx="91">
                  <c:v>25.324999999999964</c:v>
                </c:pt>
                <c:pt idx="92">
                  <c:v>25.542857142857105</c:v>
                </c:pt>
                <c:pt idx="93">
                  <c:v>25.760714285714247</c:v>
                </c:pt>
                <c:pt idx="94">
                  <c:v>25.978571428571389</c:v>
                </c:pt>
                <c:pt idx="95">
                  <c:v>26.19642857142853</c:v>
                </c:pt>
                <c:pt idx="96">
                  <c:v>26.414285714285672</c:v>
                </c:pt>
                <c:pt idx="97">
                  <c:v>26.632142857142814</c:v>
                </c:pt>
                <c:pt idx="98">
                  <c:v>26.849999999999955</c:v>
                </c:pt>
                <c:pt idx="99">
                  <c:v>27.067857142857097</c:v>
                </c:pt>
                <c:pt idx="100">
                  <c:v>27.285714285714239</c:v>
                </c:pt>
                <c:pt idx="101">
                  <c:v>27.50357142857138</c:v>
                </c:pt>
                <c:pt idx="102">
                  <c:v>27.721428571428522</c:v>
                </c:pt>
                <c:pt idx="103">
                  <c:v>27.939285714285663</c:v>
                </c:pt>
                <c:pt idx="104">
                  <c:v>28.157142857142805</c:v>
                </c:pt>
                <c:pt idx="105">
                  <c:v>28.374999999999947</c:v>
                </c:pt>
                <c:pt idx="106">
                  <c:v>28.592857142857088</c:v>
                </c:pt>
                <c:pt idx="107">
                  <c:v>28.81071428571423</c:v>
                </c:pt>
                <c:pt idx="108">
                  <c:v>29.028571428571372</c:v>
                </c:pt>
                <c:pt idx="109">
                  <c:v>29.246428571428513</c:v>
                </c:pt>
                <c:pt idx="110">
                  <c:v>29.464285714285655</c:v>
                </c:pt>
                <c:pt idx="111">
                  <c:v>29.682142857142797</c:v>
                </c:pt>
                <c:pt idx="112">
                  <c:v>29.899999999999938</c:v>
                </c:pt>
                <c:pt idx="113">
                  <c:v>30.11785714285708</c:v>
                </c:pt>
                <c:pt idx="114">
                  <c:v>30.335714285714221</c:v>
                </c:pt>
                <c:pt idx="115">
                  <c:v>30.553571428571363</c:v>
                </c:pt>
                <c:pt idx="116">
                  <c:v>30.771428571428505</c:v>
                </c:pt>
                <c:pt idx="117">
                  <c:v>30.989285714285646</c:v>
                </c:pt>
                <c:pt idx="118">
                  <c:v>31.207142857142788</c:v>
                </c:pt>
                <c:pt idx="119">
                  <c:v>31.42499999999993</c:v>
                </c:pt>
                <c:pt idx="120">
                  <c:v>31.642857142857071</c:v>
                </c:pt>
                <c:pt idx="121">
                  <c:v>31.860714285714213</c:v>
                </c:pt>
                <c:pt idx="122">
                  <c:v>32.078571428571358</c:v>
                </c:pt>
                <c:pt idx="123">
                  <c:v>32.2964285714285</c:v>
                </c:pt>
                <c:pt idx="124">
                  <c:v>32.514285714285641</c:v>
                </c:pt>
                <c:pt idx="125">
                  <c:v>32.732142857142783</c:v>
                </c:pt>
                <c:pt idx="126">
                  <c:v>32.949999999999925</c:v>
                </c:pt>
                <c:pt idx="127">
                  <c:v>33.167857142857066</c:v>
                </c:pt>
                <c:pt idx="128">
                  <c:v>33.385714285714208</c:v>
                </c:pt>
                <c:pt idx="129">
                  <c:v>33.60357142857135</c:v>
                </c:pt>
                <c:pt idx="130">
                  <c:v>33.821428571428491</c:v>
                </c:pt>
                <c:pt idx="131">
                  <c:v>34.039285714285633</c:v>
                </c:pt>
                <c:pt idx="132">
                  <c:v>34.257142857142775</c:v>
                </c:pt>
                <c:pt idx="133">
                  <c:v>34.474999999999916</c:v>
                </c:pt>
                <c:pt idx="134">
                  <c:v>34.692857142857058</c:v>
                </c:pt>
                <c:pt idx="135">
                  <c:v>34.910714285714199</c:v>
                </c:pt>
                <c:pt idx="136">
                  <c:v>35.128571428571341</c:v>
                </c:pt>
                <c:pt idx="137">
                  <c:v>35.346428571428483</c:v>
                </c:pt>
                <c:pt idx="138">
                  <c:v>35.564285714285624</c:v>
                </c:pt>
                <c:pt idx="139">
                  <c:v>35.782142857142766</c:v>
                </c:pt>
                <c:pt idx="140">
                  <c:v>35.999999999999908</c:v>
                </c:pt>
              </c:numCache>
            </c:numRef>
          </c:xVal>
          <c:yVal>
            <c:numRef>
              <c:f>Design!$U$37:$FE$37</c:f>
              <c:numCache>
                <c:formatCode>0.000</c:formatCode>
                <c:ptCount val="141"/>
                <c:pt idx="0">
                  <c:v>2.7936314851589183</c:v>
                </c:pt>
                <c:pt idx="1">
                  <c:v>2.6906408374167361</c:v>
                </c:pt>
                <c:pt idx="2">
                  <c:v>2.5948393963799297</c:v>
                </c:pt>
                <c:pt idx="3">
                  <c:v>2.5055091951167583</c:v>
                </c:pt>
                <c:pt idx="4">
                  <c:v>2.4220196409191526</c:v>
                </c:pt>
                <c:pt idx="5">
                  <c:v>2.3438162163696501</c:v>
                </c:pt>
                <c:pt idx="6">
                  <c:v>2.270410292957084</c:v>
                </c:pt>
                <c:pt idx="7">
                  <c:v>2.2013702132271553</c:v>
                </c:pt>
                <c:pt idx="8">
                  <c:v>2.1363135964016529</c:v>
                </c:pt>
                <c:pt idx="9">
                  <c:v>2.0749007466162412</c:v>
                </c:pt>
                <c:pt idx="10">
                  <c:v>2.0168290227272059</c:v>
                </c:pt>
                <c:pt idx="11">
                  <c:v>1.9618280324589206</c:v>
                </c:pt>
                <c:pt idx="12">
                  <c:v>1.909655526947144</c:v>
                </c:pt>
                <c:pt idx="13">
                  <c:v>1.8600938877724844</c:v>
                </c:pt>
                <c:pt idx="14">
                  <c:v>1.8129471143772944</c:v>
                </c:pt>
                <c:pt idx="15">
                  <c:v>1.7680382340917971</c:v>
                </c:pt>
                <c:pt idx="16">
                  <c:v>1.7252070694743551</c:v>
                </c:pt>
                <c:pt idx="17">
                  <c:v>1.684308308294812</c:v>
                </c:pt>
                <c:pt idx="18">
                  <c:v>1.6452098304200005</c:v>
                </c:pt>
                <c:pt idx="19">
                  <c:v>1.6077912533134653</c:v>
                </c:pt>
                <c:pt idx="20">
                  <c:v>1.5719426640582836</c:v>
                </c:pt>
                <c:pt idx="21">
                  <c:v>1.537563510956182</c:v>
                </c:pt>
                <c:pt idx="22">
                  <c:v>1.5045616320261017</c:v>
                </c:pt>
                <c:pt idx="23">
                  <c:v>1.4728524012724022</c:v>
                </c:pt>
                <c:pt idx="24">
                  <c:v>1.4423579765436638</c:v>
                </c:pt>
                <c:pt idx="25">
                  <c:v>1.4130066352624346</c:v>
                </c:pt>
                <c:pt idx="26">
                  <c:v>1.3847321863605364</c:v>
                </c:pt>
                <c:pt idx="27">
                  <c:v>1.357473448474545</c:v>
                </c:pt>
                <c:pt idx="28">
                  <c:v>1.3311737858997235</c:v>
                </c:pt>
                <c:pt idx="29">
                  <c:v>1.3057806950155986</c:v>
                </c:pt>
                <c:pt idx="30">
                  <c:v>1.2814784119290827</c:v>
                </c:pt>
                <c:pt idx="31">
                  <c:v>1.2588472740754226</c:v>
                </c:pt>
                <c:pt idx="32">
                  <c:v>1.2370014430021155</c:v>
                </c:pt>
                <c:pt idx="33">
                  <c:v>1.2159008283226909</c:v>
                </c:pt>
                <c:pt idx="34">
                  <c:v>1.1955080173214665</c:v>
                </c:pt>
                <c:pt idx="35">
                  <c:v>1.1757880554925746</c:v>
                </c:pt>
                <c:pt idx="36">
                  <c:v>1.1567082482776523</c:v>
                </c:pt>
                <c:pt idx="37">
                  <c:v>1.1382379816548285</c:v>
                </c:pt>
                <c:pt idx="38">
                  <c:v>1.1203485595236891</c:v>
                </c:pt>
                <c:pt idx="39">
                  <c:v>1.1030130560827249</c:v>
                </c:pt>
                <c:pt idx="40">
                  <c:v>1.0862061816134447</c:v>
                </c:pt>
                <c:pt idx="41">
                  <c:v>1.0699041602739292</c:v>
                </c:pt>
                <c:pt idx="42">
                  <c:v>1.054084618668367</c:v>
                </c:pt>
                <c:pt idx="43">
                  <c:v>1.0387264841016017</c:v>
                </c:pt>
                <c:pt idx="44">
                  <c:v>1.0238098915520011</c:v>
                </c:pt>
                <c:pt idx="45">
                  <c:v>1.0860308770014182</c:v>
                </c:pt>
                <c:pt idx="46">
                  <c:v>1.0915407248788684</c:v>
                </c:pt>
                <c:pt idx="47">
                  <c:v>1.0969007137262576</c:v>
                </c:pt>
                <c:pt idx="48">
                  <c:v>1.1021168764091589</c:v>
                </c:pt>
                <c:pt idx="49">
                  <c:v>1.1071949262026153</c:v>
                </c:pt>
                <c:pt idx="50">
                  <c:v>1.112140277681698</c:v>
                </c:pt>
                <c:pt idx="51">
                  <c:v>1.1169580659941774</c:v>
                </c:pt>
                <c:pt idx="52">
                  <c:v>1.1216531646596608</c:v>
                </c:pt>
                <c:pt idx="53">
                  <c:v>1.1262302020250194</c:v>
                </c:pt>
                <c:pt idx="54">
                  <c:v>1.1306935764930066</c:v>
                </c:pt>
                <c:pt idx="55">
                  <c:v>1.1350474706294924</c:v>
                </c:pt>
                <c:pt idx="56">
                  <c:v>1.1392958642445037</c:v>
                </c:pt>
                <c:pt idx="57">
                  <c:v>1.1434425465331346</c:v>
                </c:pt>
                <c:pt idx="58">
                  <c:v>1.1480494754346382</c:v>
                </c:pt>
                <c:pt idx="59">
                  <c:v>1.1529477974638609</c:v>
                </c:pt>
                <c:pt idx="60">
                  <c:v>1.1578135055932488</c:v>
                </c:pt>
                <c:pt idx="61">
                  <c:v>1.1626491966903258</c:v>
                </c:pt>
                <c:pt idx="62">
                  <c:v>1.1674573866885796</c:v>
                </c:pt>
                <c:pt idx="63">
                  <c:v>1.1722405162368295</c:v>
                </c:pt>
                <c:pt idx="64">
                  <c:v>1.1770009560162196</c:v>
                </c:pt>
                <c:pt idx="65">
                  <c:v>1.1817410117521268</c:v>
                </c:pt>
                <c:pt idx="66">
                  <c:v>1.1864629289460007</c:v>
                </c:pt>
                <c:pt idx="67">
                  <c:v>1.1911688973501144</c:v>
                </c:pt>
                <c:pt idx="68">
                  <c:v>1.1958610552063587</c:v>
                </c:pt>
                <c:pt idx="69">
                  <c:v>1.2005414932685488</c:v>
                </c:pt>
                <c:pt idx="70">
                  <c:v>1.2052122586262146</c:v>
                </c:pt>
                <c:pt idx="71">
                  <c:v>1.2098753583464834</c:v>
                </c:pt>
                <c:pt idx="72">
                  <c:v>1.2145327629494413</c:v>
                </c:pt>
                <c:pt idx="73">
                  <c:v>1.2191864097312537</c:v>
                </c:pt>
                <c:pt idx="74">
                  <c:v>1.2238382059483222</c:v>
                </c:pt>
                <c:pt idx="75">
                  <c:v>1.2284900318748522</c:v>
                </c:pt>
                <c:pt idx="76">
                  <c:v>1.2331437437453925</c:v>
                </c:pt>
                <c:pt idx="77">
                  <c:v>1.2378011765931691</c:v>
                </c:pt>
                <c:pt idx="78">
                  <c:v>1.2424641469943809</c:v>
                </c:pt>
                <c:pt idx="79">
                  <c:v>1.2471344557280162</c:v>
                </c:pt>
                <c:pt idx="80">
                  <c:v>1.2518138903602329</c:v>
                </c:pt>
                <c:pt idx="81">
                  <c:v>1.2565042277618514</c:v>
                </c:pt>
                <c:pt idx="82">
                  <c:v>1.2612072365670937</c:v>
                </c:pt>
                <c:pt idx="83">
                  <c:v>1.2659246795813215</c:v>
                </c:pt>
                <c:pt idx="84">
                  <c:v>1.2706583161451928</c:v>
                </c:pt>
                <c:pt idx="85">
                  <c:v>1.2754099044623652</c:v>
                </c:pt>
                <c:pt idx="86">
                  <c:v>1.2801812038976261</c:v>
                </c:pt>
                <c:pt idx="87">
                  <c:v>1.2849739772521072</c:v>
                </c:pt>
                <c:pt idx="88">
                  <c:v>1.2897899930220673</c:v>
                </c:pt>
                <c:pt idx="89">
                  <c:v>1.2946310276475779</c:v>
                </c:pt>
                <c:pt idx="90">
                  <c:v>1.2994988677573265</c:v>
                </c:pt>
                <c:pt idx="91">
                  <c:v>1.3043953124156733</c:v>
                </c:pt>
                <c:pt idx="92">
                  <c:v>1.3093221753780382</c:v>
                </c:pt>
                <c:pt idx="93">
                  <c:v>1.3142812873606655</c:v>
                </c:pt>
                <c:pt idx="94">
                  <c:v>1.3192744983308249</c:v>
                </c:pt>
                <c:pt idx="95">
                  <c:v>1.3243036798235217</c:v>
                </c:pt>
                <c:pt idx="96">
                  <c:v>1.3293707272908648</c:v>
                </c:pt>
                <c:pt idx="97">
                  <c:v>1.33447756249031</c:v>
                </c:pt>
                <c:pt idx="98">
                  <c:v>1.3396261359181234</c:v>
                </c:pt>
                <c:pt idx="99">
                  <c:v>1.3448184292945462</c:v>
                </c:pt>
                <c:pt idx="100">
                  <c:v>1.3500564581073136</c:v>
                </c:pt>
                <c:pt idx="101">
                  <c:v>1.3553422742203918</c:v>
                </c:pt>
                <c:pt idx="102">
                  <c:v>1.3606779685550241</c:v>
                </c:pt>
                <c:pt idx="103">
                  <c:v>1.3660656738504493</c:v>
                </c:pt>
                <c:pt idx="104">
                  <c:v>1.3715075675119579</c:v>
                </c:pt>
                <c:pt idx="105">
                  <c:v>1.3770058745542921</c:v>
                </c:pt>
                <c:pt idx="106">
                  <c:v>1.3825628706487709</c:v>
                </c:pt>
                <c:pt idx="107">
                  <c:v>1.3881808852829438</c:v>
                </c:pt>
                <c:pt idx="108">
                  <c:v>1.3938623050420409</c:v>
                </c:pt>
                <c:pt idx="109">
                  <c:v>1.3996095770219883</c:v>
                </c:pt>
                <c:pt idx="110">
                  <c:v>1.4054252123843325</c:v>
                </c:pt>
                <c:pt idx="111">
                  <c:v>1.4113117900640157</c:v>
                </c:pt>
                <c:pt idx="112">
                  <c:v>1.4172719606416273</c:v>
                </c:pt>
                <c:pt idx="113">
                  <c:v>1.42330845039249</c:v>
                </c:pt>
                <c:pt idx="114">
                  <c:v>1.4294240655257375</c:v>
                </c:pt>
                <c:pt idx="115">
                  <c:v>1.435621696627424</c:v>
                </c:pt>
                <c:pt idx="116">
                  <c:v>1.4419043233226616</c:v>
                </c:pt>
                <c:pt idx="117">
                  <c:v>1.4482750191728275</c:v>
                </c:pt>
                <c:pt idx="118">
                  <c:v>1.4547369568250235</c:v>
                </c:pt>
                <c:pt idx="119">
                  <c:v>1.4612934134322166</c:v>
                </c:pt>
                <c:pt idx="120">
                  <c:v>1.4679477763638529</c:v>
                </c:pt>
                <c:pt idx="121">
                  <c:v>1.4747035492282143</c:v>
                </c:pt>
                <c:pt idx="122">
                  <c:v>1.4815643582294187</c:v>
                </c:pt>
                <c:pt idx="123">
                  <c:v>1.4885339588837305</c:v>
                </c:pt>
                <c:pt idx="124">
                  <c:v>1.4956162431217961</c:v>
                </c:pt>
                <c:pt idx="125">
                  <c:v>1.5028152468055289</c:v>
                </c:pt>
                <c:pt idx="126">
                  <c:v>1.5101351576907003</c:v>
                </c:pt>
                <c:pt idx="127">
                  <c:v>1.5175803238688346</c:v>
                </c:pt>
                <c:pt idx="128">
                  <c:v>1.5251552627247948</c:v>
                </c:pt>
                <c:pt idx="129">
                  <c:v>1.5328646704495112</c:v>
                </c:pt>
                <c:pt idx="130">
                  <c:v>1.5407134321506559</c:v>
                </c:pt>
                <c:pt idx="131">
                  <c:v>1.5487066326077747</c:v>
                </c:pt>
                <c:pt idx="132">
                  <c:v>1.556849567722439</c:v>
                </c:pt>
                <c:pt idx="133">
                  <c:v>1.5651477567184593</c:v>
                </c:pt>
                <c:pt idx="134">
                  <c:v>1.5736069551521346</c:v>
                </c:pt>
                <c:pt idx="135">
                  <c:v>1.5822331687979436</c:v>
                </c:pt>
                <c:pt idx="136">
                  <c:v>1.5910326684810974</c:v>
                </c:pt>
                <c:pt idx="137">
                  <c:v>1.6000120059350096</c:v>
                </c:pt>
                <c:pt idx="138">
                  <c:v>1.6091780307690833</c:v>
                </c:pt>
                <c:pt idx="139">
                  <c:v>1.6185379086403633</c:v>
                </c:pt>
                <c:pt idx="140">
                  <c:v>1.6280991407316199</c:v>
                </c:pt>
              </c:numCache>
            </c:numRef>
          </c:yVal>
          <c:smooth val="0"/>
        </c:ser>
        <c:ser>
          <c:idx val="0"/>
          <c:order val="1"/>
          <c:tx>
            <c:v>ILIM</c:v>
          </c:tx>
          <c:spPr>
            <a:ln w="1905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Design!$U$31:$FE$31</c:f>
              <c:numCache>
                <c:formatCode>0.00</c:formatCode>
                <c:ptCount val="141"/>
                <c:pt idx="0">
                  <c:v>5.5</c:v>
                </c:pt>
                <c:pt idx="1">
                  <c:v>5.7178571428571425</c:v>
                </c:pt>
                <c:pt idx="2">
                  <c:v>5.9357142857142851</c:v>
                </c:pt>
                <c:pt idx="3">
                  <c:v>6.1535714285714276</c:v>
                </c:pt>
                <c:pt idx="4">
                  <c:v>6.3714285714285701</c:v>
                </c:pt>
                <c:pt idx="5">
                  <c:v>6.5892857142857126</c:v>
                </c:pt>
                <c:pt idx="6">
                  <c:v>6.8071428571428552</c:v>
                </c:pt>
                <c:pt idx="7">
                  <c:v>7.0249999999999977</c:v>
                </c:pt>
                <c:pt idx="8">
                  <c:v>7.2428571428571402</c:v>
                </c:pt>
                <c:pt idx="9">
                  <c:v>7.4607142857142827</c:v>
                </c:pt>
                <c:pt idx="10">
                  <c:v>7.6785714285714253</c:v>
                </c:pt>
                <c:pt idx="11">
                  <c:v>7.8964285714285678</c:v>
                </c:pt>
                <c:pt idx="12">
                  <c:v>8.1142857142857103</c:v>
                </c:pt>
                <c:pt idx="13">
                  <c:v>8.3321428571428537</c:v>
                </c:pt>
                <c:pt idx="14">
                  <c:v>8.5499999999999972</c:v>
                </c:pt>
                <c:pt idx="15">
                  <c:v>8.7678571428571406</c:v>
                </c:pt>
                <c:pt idx="16">
                  <c:v>8.985714285714284</c:v>
                </c:pt>
                <c:pt idx="17">
                  <c:v>9.2035714285714274</c:v>
                </c:pt>
                <c:pt idx="18">
                  <c:v>9.4214285714285708</c:v>
                </c:pt>
                <c:pt idx="19">
                  <c:v>9.6392857142857142</c:v>
                </c:pt>
                <c:pt idx="20">
                  <c:v>9.8571428571428577</c:v>
                </c:pt>
                <c:pt idx="21">
                  <c:v>10.075000000000001</c:v>
                </c:pt>
                <c:pt idx="22">
                  <c:v>10.292857142857144</c:v>
                </c:pt>
                <c:pt idx="23">
                  <c:v>10.510714285714288</c:v>
                </c:pt>
                <c:pt idx="24">
                  <c:v>10.728571428571431</c:v>
                </c:pt>
                <c:pt idx="25">
                  <c:v>10.946428571428575</c:v>
                </c:pt>
                <c:pt idx="26">
                  <c:v>11.164285714285718</c:v>
                </c:pt>
                <c:pt idx="27">
                  <c:v>11.382142857142862</c:v>
                </c:pt>
                <c:pt idx="28">
                  <c:v>11.600000000000005</c:v>
                </c:pt>
                <c:pt idx="29">
                  <c:v>11.817857142857148</c:v>
                </c:pt>
                <c:pt idx="30">
                  <c:v>12.035714285714292</c:v>
                </c:pt>
                <c:pt idx="31">
                  <c:v>12.253571428571435</c:v>
                </c:pt>
                <c:pt idx="32">
                  <c:v>12.471428571428579</c:v>
                </c:pt>
                <c:pt idx="33">
                  <c:v>12.689285714285722</c:v>
                </c:pt>
                <c:pt idx="34">
                  <c:v>12.907142857142865</c:v>
                </c:pt>
                <c:pt idx="35">
                  <c:v>13.125000000000009</c:v>
                </c:pt>
                <c:pt idx="36">
                  <c:v>13.342857142857152</c:v>
                </c:pt>
                <c:pt idx="37">
                  <c:v>13.560714285714296</c:v>
                </c:pt>
                <c:pt idx="38">
                  <c:v>13.778571428571439</c:v>
                </c:pt>
                <c:pt idx="39">
                  <c:v>13.996428571428583</c:v>
                </c:pt>
                <c:pt idx="40">
                  <c:v>14.214285714285726</c:v>
                </c:pt>
                <c:pt idx="41">
                  <c:v>14.432142857142869</c:v>
                </c:pt>
                <c:pt idx="42">
                  <c:v>14.650000000000013</c:v>
                </c:pt>
                <c:pt idx="43">
                  <c:v>14.867857142857156</c:v>
                </c:pt>
                <c:pt idx="44">
                  <c:v>15.0857142857143</c:v>
                </c:pt>
                <c:pt idx="45">
                  <c:v>15.303571428571443</c:v>
                </c:pt>
                <c:pt idx="46">
                  <c:v>15.521428571428586</c:v>
                </c:pt>
                <c:pt idx="47">
                  <c:v>15.73928571428573</c:v>
                </c:pt>
                <c:pt idx="48">
                  <c:v>15.957142857142873</c:v>
                </c:pt>
                <c:pt idx="49">
                  <c:v>16.175000000000015</c:v>
                </c:pt>
                <c:pt idx="50">
                  <c:v>16.392857142857157</c:v>
                </c:pt>
                <c:pt idx="51">
                  <c:v>16.610714285714298</c:v>
                </c:pt>
                <c:pt idx="52">
                  <c:v>16.82857142857144</c:v>
                </c:pt>
                <c:pt idx="53">
                  <c:v>17.046428571428581</c:v>
                </c:pt>
                <c:pt idx="54">
                  <c:v>17.264285714285723</c:v>
                </c:pt>
                <c:pt idx="55">
                  <c:v>17.482142857142865</c:v>
                </c:pt>
                <c:pt idx="56">
                  <c:v>17.700000000000006</c:v>
                </c:pt>
                <c:pt idx="57">
                  <c:v>17.917857142857148</c:v>
                </c:pt>
                <c:pt idx="58">
                  <c:v>18.13571428571429</c:v>
                </c:pt>
                <c:pt idx="59">
                  <c:v>18.353571428571431</c:v>
                </c:pt>
                <c:pt idx="60">
                  <c:v>18.571428571428573</c:v>
                </c:pt>
                <c:pt idx="61">
                  <c:v>18.789285714285715</c:v>
                </c:pt>
                <c:pt idx="62">
                  <c:v>19.007142857142856</c:v>
                </c:pt>
                <c:pt idx="63">
                  <c:v>19.224999999999998</c:v>
                </c:pt>
                <c:pt idx="64">
                  <c:v>19.44285714285714</c:v>
                </c:pt>
                <c:pt idx="65">
                  <c:v>19.660714285714281</c:v>
                </c:pt>
                <c:pt idx="66">
                  <c:v>19.878571428571423</c:v>
                </c:pt>
                <c:pt idx="67">
                  <c:v>20.096428571428564</c:v>
                </c:pt>
                <c:pt idx="68">
                  <c:v>20.314285714285706</c:v>
                </c:pt>
                <c:pt idx="69">
                  <c:v>20.532142857142848</c:v>
                </c:pt>
                <c:pt idx="70">
                  <c:v>20.749999999999989</c:v>
                </c:pt>
                <c:pt idx="71">
                  <c:v>20.967857142857131</c:v>
                </c:pt>
                <c:pt idx="72">
                  <c:v>21.185714285714273</c:v>
                </c:pt>
                <c:pt idx="73">
                  <c:v>21.403571428571414</c:v>
                </c:pt>
                <c:pt idx="74">
                  <c:v>21.621428571428556</c:v>
                </c:pt>
                <c:pt idx="75">
                  <c:v>21.839285714285698</c:v>
                </c:pt>
                <c:pt idx="76">
                  <c:v>22.057142857142839</c:v>
                </c:pt>
                <c:pt idx="77">
                  <c:v>22.274999999999981</c:v>
                </c:pt>
                <c:pt idx="78">
                  <c:v>22.492857142857122</c:v>
                </c:pt>
                <c:pt idx="79">
                  <c:v>22.710714285714264</c:v>
                </c:pt>
                <c:pt idx="80">
                  <c:v>22.928571428571406</c:v>
                </c:pt>
                <c:pt idx="81">
                  <c:v>23.146428571428547</c:v>
                </c:pt>
                <c:pt idx="82">
                  <c:v>23.364285714285689</c:v>
                </c:pt>
                <c:pt idx="83">
                  <c:v>23.582142857142831</c:v>
                </c:pt>
                <c:pt idx="84">
                  <c:v>23.799999999999972</c:v>
                </c:pt>
                <c:pt idx="85">
                  <c:v>24.017857142857114</c:v>
                </c:pt>
                <c:pt idx="86">
                  <c:v>24.235714285714256</c:v>
                </c:pt>
                <c:pt idx="87">
                  <c:v>24.453571428571397</c:v>
                </c:pt>
                <c:pt idx="88">
                  <c:v>24.671428571428539</c:v>
                </c:pt>
                <c:pt idx="89">
                  <c:v>24.88928571428568</c:v>
                </c:pt>
                <c:pt idx="90">
                  <c:v>25.107142857142822</c:v>
                </c:pt>
                <c:pt idx="91">
                  <c:v>25.324999999999964</c:v>
                </c:pt>
                <c:pt idx="92">
                  <c:v>25.542857142857105</c:v>
                </c:pt>
                <c:pt idx="93">
                  <c:v>25.760714285714247</c:v>
                </c:pt>
                <c:pt idx="94">
                  <c:v>25.978571428571389</c:v>
                </c:pt>
                <c:pt idx="95">
                  <c:v>26.19642857142853</c:v>
                </c:pt>
                <c:pt idx="96">
                  <c:v>26.414285714285672</c:v>
                </c:pt>
                <c:pt idx="97">
                  <c:v>26.632142857142814</c:v>
                </c:pt>
                <c:pt idx="98">
                  <c:v>26.849999999999955</c:v>
                </c:pt>
                <c:pt idx="99">
                  <c:v>27.067857142857097</c:v>
                </c:pt>
                <c:pt idx="100">
                  <c:v>27.285714285714239</c:v>
                </c:pt>
                <c:pt idx="101">
                  <c:v>27.50357142857138</c:v>
                </c:pt>
                <c:pt idx="102">
                  <c:v>27.721428571428522</c:v>
                </c:pt>
                <c:pt idx="103">
                  <c:v>27.939285714285663</c:v>
                </c:pt>
                <c:pt idx="104">
                  <c:v>28.157142857142805</c:v>
                </c:pt>
                <c:pt idx="105">
                  <c:v>28.374999999999947</c:v>
                </c:pt>
                <c:pt idx="106">
                  <c:v>28.592857142857088</c:v>
                </c:pt>
                <c:pt idx="107">
                  <c:v>28.81071428571423</c:v>
                </c:pt>
                <c:pt idx="108">
                  <c:v>29.028571428571372</c:v>
                </c:pt>
                <c:pt idx="109">
                  <c:v>29.246428571428513</c:v>
                </c:pt>
                <c:pt idx="110">
                  <c:v>29.464285714285655</c:v>
                </c:pt>
                <c:pt idx="111">
                  <c:v>29.682142857142797</c:v>
                </c:pt>
                <c:pt idx="112">
                  <c:v>29.899999999999938</c:v>
                </c:pt>
                <c:pt idx="113">
                  <c:v>30.11785714285708</c:v>
                </c:pt>
                <c:pt idx="114">
                  <c:v>30.335714285714221</c:v>
                </c:pt>
                <c:pt idx="115">
                  <c:v>30.553571428571363</c:v>
                </c:pt>
                <c:pt idx="116">
                  <c:v>30.771428571428505</c:v>
                </c:pt>
                <c:pt idx="117">
                  <c:v>30.989285714285646</c:v>
                </c:pt>
                <c:pt idx="118">
                  <c:v>31.207142857142788</c:v>
                </c:pt>
                <c:pt idx="119">
                  <c:v>31.42499999999993</c:v>
                </c:pt>
                <c:pt idx="120">
                  <c:v>31.642857142857071</c:v>
                </c:pt>
                <c:pt idx="121">
                  <c:v>31.860714285714213</c:v>
                </c:pt>
                <c:pt idx="122">
                  <c:v>32.078571428571358</c:v>
                </c:pt>
                <c:pt idx="123">
                  <c:v>32.2964285714285</c:v>
                </c:pt>
                <c:pt idx="124">
                  <c:v>32.514285714285641</c:v>
                </c:pt>
                <c:pt idx="125">
                  <c:v>32.732142857142783</c:v>
                </c:pt>
                <c:pt idx="126">
                  <c:v>32.949999999999925</c:v>
                </c:pt>
                <c:pt idx="127">
                  <c:v>33.167857142857066</c:v>
                </c:pt>
                <c:pt idx="128">
                  <c:v>33.385714285714208</c:v>
                </c:pt>
                <c:pt idx="129">
                  <c:v>33.60357142857135</c:v>
                </c:pt>
                <c:pt idx="130">
                  <c:v>33.821428571428491</c:v>
                </c:pt>
                <c:pt idx="131">
                  <c:v>34.039285714285633</c:v>
                </c:pt>
                <c:pt idx="132">
                  <c:v>34.257142857142775</c:v>
                </c:pt>
                <c:pt idx="133">
                  <c:v>34.474999999999916</c:v>
                </c:pt>
                <c:pt idx="134">
                  <c:v>34.692857142857058</c:v>
                </c:pt>
                <c:pt idx="135">
                  <c:v>34.910714285714199</c:v>
                </c:pt>
                <c:pt idx="136">
                  <c:v>35.128571428571341</c:v>
                </c:pt>
                <c:pt idx="137">
                  <c:v>35.346428571428483</c:v>
                </c:pt>
                <c:pt idx="138">
                  <c:v>35.564285714285624</c:v>
                </c:pt>
                <c:pt idx="139">
                  <c:v>35.782142857142766</c:v>
                </c:pt>
                <c:pt idx="140">
                  <c:v>35.999999999999908</c:v>
                </c:pt>
              </c:numCache>
            </c:numRef>
          </c:xVal>
          <c:yVal>
            <c:numRef>
              <c:f>Design!$U$48:$FE$48</c:f>
              <c:numCache>
                <c:formatCode>0.0</c:formatCode>
                <c:ptCount val="141"/>
                <c:pt idx="0">
                  <c:v>3.9</c:v>
                </c:pt>
                <c:pt idx="1">
                  <c:v>3.9</c:v>
                </c:pt>
                <c:pt idx="2">
                  <c:v>3.9</c:v>
                </c:pt>
                <c:pt idx="3">
                  <c:v>3.9</c:v>
                </c:pt>
                <c:pt idx="4">
                  <c:v>3.9</c:v>
                </c:pt>
                <c:pt idx="5">
                  <c:v>3.9</c:v>
                </c:pt>
                <c:pt idx="6">
                  <c:v>3.9</c:v>
                </c:pt>
                <c:pt idx="7">
                  <c:v>3.9</c:v>
                </c:pt>
                <c:pt idx="8">
                  <c:v>3.9</c:v>
                </c:pt>
                <c:pt idx="9">
                  <c:v>3.9</c:v>
                </c:pt>
                <c:pt idx="10">
                  <c:v>3.9</c:v>
                </c:pt>
                <c:pt idx="11">
                  <c:v>3.9</c:v>
                </c:pt>
                <c:pt idx="12">
                  <c:v>3.9</c:v>
                </c:pt>
                <c:pt idx="13">
                  <c:v>3.9</c:v>
                </c:pt>
                <c:pt idx="14">
                  <c:v>3.9</c:v>
                </c:pt>
                <c:pt idx="15">
                  <c:v>3.9</c:v>
                </c:pt>
                <c:pt idx="16">
                  <c:v>3.9</c:v>
                </c:pt>
                <c:pt idx="17">
                  <c:v>3.9</c:v>
                </c:pt>
                <c:pt idx="18">
                  <c:v>3.9</c:v>
                </c:pt>
                <c:pt idx="19">
                  <c:v>3.9</c:v>
                </c:pt>
                <c:pt idx="20">
                  <c:v>3.9</c:v>
                </c:pt>
                <c:pt idx="21">
                  <c:v>3.9</c:v>
                </c:pt>
                <c:pt idx="22">
                  <c:v>3.9</c:v>
                </c:pt>
                <c:pt idx="23">
                  <c:v>3.9</c:v>
                </c:pt>
                <c:pt idx="24">
                  <c:v>3.9</c:v>
                </c:pt>
                <c:pt idx="25">
                  <c:v>3.9</c:v>
                </c:pt>
                <c:pt idx="26">
                  <c:v>3.9</c:v>
                </c:pt>
                <c:pt idx="27">
                  <c:v>3.9</c:v>
                </c:pt>
                <c:pt idx="28">
                  <c:v>3.9</c:v>
                </c:pt>
                <c:pt idx="29">
                  <c:v>3.9</c:v>
                </c:pt>
                <c:pt idx="30">
                  <c:v>3.9</c:v>
                </c:pt>
                <c:pt idx="31">
                  <c:v>3.9</c:v>
                </c:pt>
                <c:pt idx="32">
                  <c:v>3.9</c:v>
                </c:pt>
                <c:pt idx="33">
                  <c:v>3.9</c:v>
                </c:pt>
                <c:pt idx="34">
                  <c:v>3.9</c:v>
                </c:pt>
                <c:pt idx="35">
                  <c:v>3.9</c:v>
                </c:pt>
                <c:pt idx="36">
                  <c:v>3.9</c:v>
                </c:pt>
                <c:pt idx="37">
                  <c:v>3.9</c:v>
                </c:pt>
                <c:pt idx="38">
                  <c:v>3.9</c:v>
                </c:pt>
                <c:pt idx="39">
                  <c:v>3.9</c:v>
                </c:pt>
                <c:pt idx="40">
                  <c:v>3.9</c:v>
                </c:pt>
                <c:pt idx="41">
                  <c:v>3.9</c:v>
                </c:pt>
                <c:pt idx="42">
                  <c:v>3.9</c:v>
                </c:pt>
                <c:pt idx="43">
                  <c:v>3.9</c:v>
                </c:pt>
                <c:pt idx="44">
                  <c:v>3.9</c:v>
                </c:pt>
                <c:pt idx="45">
                  <c:v>2.4</c:v>
                </c:pt>
                <c:pt idx="46">
                  <c:v>2.4</c:v>
                </c:pt>
                <c:pt idx="47">
                  <c:v>2.4</c:v>
                </c:pt>
                <c:pt idx="48">
                  <c:v>2.4</c:v>
                </c:pt>
                <c:pt idx="49">
                  <c:v>2.4</c:v>
                </c:pt>
                <c:pt idx="50">
                  <c:v>2.4</c:v>
                </c:pt>
                <c:pt idx="51">
                  <c:v>2.4</c:v>
                </c:pt>
                <c:pt idx="52">
                  <c:v>2.4</c:v>
                </c:pt>
                <c:pt idx="53">
                  <c:v>2.4</c:v>
                </c:pt>
                <c:pt idx="54">
                  <c:v>2.4</c:v>
                </c:pt>
                <c:pt idx="55">
                  <c:v>2.4</c:v>
                </c:pt>
                <c:pt idx="56">
                  <c:v>2.4</c:v>
                </c:pt>
                <c:pt idx="57">
                  <c:v>2.4</c:v>
                </c:pt>
                <c:pt idx="58">
                  <c:v>2.4</c:v>
                </c:pt>
                <c:pt idx="59">
                  <c:v>2.4</c:v>
                </c:pt>
                <c:pt idx="60">
                  <c:v>2.4</c:v>
                </c:pt>
                <c:pt idx="61">
                  <c:v>2.4</c:v>
                </c:pt>
                <c:pt idx="62">
                  <c:v>2.4</c:v>
                </c:pt>
                <c:pt idx="63">
                  <c:v>2.4</c:v>
                </c:pt>
                <c:pt idx="64">
                  <c:v>2.4</c:v>
                </c:pt>
                <c:pt idx="65">
                  <c:v>2.4</c:v>
                </c:pt>
                <c:pt idx="66">
                  <c:v>2.4</c:v>
                </c:pt>
                <c:pt idx="67">
                  <c:v>2.4</c:v>
                </c:pt>
                <c:pt idx="68">
                  <c:v>2.4</c:v>
                </c:pt>
                <c:pt idx="69">
                  <c:v>2.4</c:v>
                </c:pt>
                <c:pt idx="70">
                  <c:v>2.4</c:v>
                </c:pt>
                <c:pt idx="71">
                  <c:v>2.4</c:v>
                </c:pt>
                <c:pt idx="72">
                  <c:v>2.4</c:v>
                </c:pt>
                <c:pt idx="73">
                  <c:v>2.4</c:v>
                </c:pt>
                <c:pt idx="74">
                  <c:v>2.4</c:v>
                </c:pt>
                <c:pt idx="75">
                  <c:v>2.4</c:v>
                </c:pt>
                <c:pt idx="76">
                  <c:v>2.4</c:v>
                </c:pt>
                <c:pt idx="77">
                  <c:v>2.4</c:v>
                </c:pt>
                <c:pt idx="78">
                  <c:v>2.4</c:v>
                </c:pt>
                <c:pt idx="79">
                  <c:v>2.4</c:v>
                </c:pt>
                <c:pt idx="80">
                  <c:v>2.4</c:v>
                </c:pt>
                <c:pt idx="81">
                  <c:v>2.4</c:v>
                </c:pt>
                <c:pt idx="82">
                  <c:v>2.4</c:v>
                </c:pt>
                <c:pt idx="83">
                  <c:v>2.4</c:v>
                </c:pt>
                <c:pt idx="84">
                  <c:v>2.4</c:v>
                </c:pt>
                <c:pt idx="85">
                  <c:v>2.4</c:v>
                </c:pt>
                <c:pt idx="86">
                  <c:v>2.4</c:v>
                </c:pt>
                <c:pt idx="87">
                  <c:v>2.4</c:v>
                </c:pt>
                <c:pt idx="88">
                  <c:v>2.4</c:v>
                </c:pt>
                <c:pt idx="89">
                  <c:v>2.4</c:v>
                </c:pt>
                <c:pt idx="90">
                  <c:v>2.4</c:v>
                </c:pt>
                <c:pt idx="91">
                  <c:v>2.4</c:v>
                </c:pt>
                <c:pt idx="92">
                  <c:v>2.4</c:v>
                </c:pt>
                <c:pt idx="93">
                  <c:v>2.4</c:v>
                </c:pt>
                <c:pt idx="94">
                  <c:v>2.4</c:v>
                </c:pt>
                <c:pt idx="95">
                  <c:v>2.4</c:v>
                </c:pt>
                <c:pt idx="96">
                  <c:v>2.4</c:v>
                </c:pt>
                <c:pt idx="97">
                  <c:v>2.4</c:v>
                </c:pt>
                <c:pt idx="98">
                  <c:v>2.4</c:v>
                </c:pt>
                <c:pt idx="99">
                  <c:v>2.4</c:v>
                </c:pt>
                <c:pt idx="100">
                  <c:v>2.4</c:v>
                </c:pt>
                <c:pt idx="101">
                  <c:v>2.4</c:v>
                </c:pt>
                <c:pt idx="102">
                  <c:v>2.4</c:v>
                </c:pt>
                <c:pt idx="103">
                  <c:v>2.4</c:v>
                </c:pt>
                <c:pt idx="104">
                  <c:v>2.4</c:v>
                </c:pt>
                <c:pt idx="105">
                  <c:v>2.4</c:v>
                </c:pt>
                <c:pt idx="106">
                  <c:v>2.4</c:v>
                </c:pt>
                <c:pt idx="107">
                  <c:v>2.4</c:v>
                </c:pt>
                <c:pt idx="108">
                  <c:v>2.4</c:v>
                </c:pt>
                <c:pt idx="109">
                  <c:v>2.4</c:v>
                </c:pt>
                <c:pt idx="110">
                  <c:v>2.4</c:v>
                </c:pt>
                <c:pt idx="111">
                  <c:v>2.4</c:v>
                </c:pt>
                <c:pt idx="112">
                  <c:v>2.4</c:v>
                </c:pt>
                <c:pt idx="113">
                  <c:v>2.4</c:v>
                </c:pt>
                <c:pt idx="114">
                  <c:v>2.4</c:v>
                </c:pt>
                <c:pt idx="115">
                  <c:v>2.4</c:v>
                </c:pt>
                <c:pt idx="116">
                  <c:v>2.4</c:v>
                </c:pt>
                <c:pt idx="117">
                  <c:v>2.4</c:v>
                </c:pt>
                <c:pt idx="118">
                  <c:v>2.4</c:v>
                </c:pt>
                <c:pt idx="119">
                  <c:v>2.4</c:v>
                </c:pt>
                <c:pt idx="120">
                  <c:v>2.4</c:v>
                </c:pt>
                <c:pt idx="121">
                  <c:v>2.4</c:v>
                </c:pt>
                <c:pt idx="122">
                  <c:v>2.4</c:v>
                </c:pt>
                <c:pt idx="123">
                  <c:v>2.4</c:v>
                </c:pt>
                <c:pt idx="124">
                  <c:v>2.4</c:v>
                </c:pt>
                <c:pt idx="125">
                  <c:v>2.4</c:v>
                </c:pt>
                <c:pt idx="126">
                  <c:v>2.4</c:v>
                </c:pt>
                <c:pt idx="127">
                  <c:v>2.4</c:v>
                </c:pt>
                <c:pt idx="128">
                  <c:v>2.4</c:v>
                </c:pt>
                <c:pt idx="129">
                  <c:v>2.4</c:v>
                </c:pt>
                <c:pt idx="130">
                  <c:v>2.4</c:v>
                </c:pt>
                <c:pt idx="131">
                  <c:v>2.4</c:v>
                </c:pt>
                <c:pt idx="132">
                  <c:v>2.4</c:v>
                </c:pt>
                <c:pt idx="133">
                  <c:v>2.4</c:v>
                </c:pt>
                <c:pt idx="134">
                  <c:v>2.4</c:v>
                </c:pt>
                <c:pt idx="135">
                  <c:v>2.4</c:v>
                </c:pt>
                <c:pt idx="136">
                  <c:v>2.4</c:v>
                </c:pt>
                <c:pt idx="137">
                  <c:v>2.4</c:v>
                </c:pt>
                <c:pt idx="138">
                  <c:v>2.4</c:v>
                </c:pt>
                <c:pt idx="139">
                  <c:v>2.4</c:v>
                </c:pt>
                <c:pt idx="140">
                  <c:v>2.4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102800"/>
        <c:axId val="199868800"/>
      </c:scatterChart>
      <c:valAx>
        <c:axId val="199102800"/>
        <c:scaling>
          <c:orientation val="minMax"/>
          <c:min val="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Input Voltage - V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868800"/>
        <c:crosses val="autoZero"/>
        <c:crossBetween val="midCat"/>
        <c:majorUnit val="1"/>
        <c:minorUnit val="0.5"/>
      </c:valAx>
      <c:valAx>
        <c:axId val="19986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Peak</a:t>
                </a:r>
                <a:r>
                  <a:rPr lang="en-US" sz="1100" baseline="0"/>
                  <a:t> Inductor Current - A</a:t>
                </a:r>
                <a:endParaRPr lang="en-US" sz="11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102800"/>
        <c:crosses val="autoZero"/>
        <c:crossBetween val="midCat"/>
        <c:majorUnit val="0.2"/>
        <c:minorUnit val="0.2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9987636396"/>
          <c:y val="8.3828380512838585E-2"/>
          <c:w val="0.85889098038252787"/>
          <c:h val="0.80256947747303398"/>
        </c:manualLayout>
      </c:layout>
      <c:scatterChart>
        <c:scatterStyle val="lineMarker"/>
        <c:varyColors val="0"/>
        <c:ser>
          <c:idx val="1"/>
          <c:order val="0"/>
          <c:tx>
            <c:v>Dboost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Design!$U$31:$FE$31</c:f>
              <c:numCache>
                <c:formatCode>0.00</c:formatCode>
                <c:ptCount val="141"/>
                <c:pt idx="0">
                  <c:v>5.5</c:v>
                </c:pt>
                <c:pt idx="1">
                  <c:v>5.7178571428571425</c:v>
                </c:pt>
                <c:pt idx="2">
                  <c:v>5.9357142857142851</c:v>
                </c:pt>
                <c:pt idx="3">
                  <c:v>6.1535714285714276</c:v>
                </c:pt>
                <c:pt idx="4">
                  <c:v>6.3714285714285701</c:v>
                </c:pt>
                <c:pt idx="5">
                  <c:v>6.5892857142857126</c:v>
                </c:pt>
                <c:pt idx="6">
                  <c:v>6.8071428571428552</c:v>
                </c:pt>
                <c:pt idx="7">
                  <c:v>7.0249999999999977</c:v>
                </c:pt>
                <c:pt idx="8">
                  <c:v>7.2428571428571402</c:v>
                </c:pt>
                <c:pt idx="9">
                  <c:v>7.4607142857142827</c:v>
                </c:pt>
                <c:pt idx="10">
                  <c:v>7.6785714285714253</c:v>
                </c:pt>
                <c:pt idx="11">
                  <c:v>7.8964285714285678</c:v>
                </c:pt>
                <c:pt idx="12">
                  <c:v>8.1142857142857103</c:v>
                </c:pt>
                <c:pt idx="13">
                  <c:v>8.3321428571428537</c:v>
                </c:pt>
                <c:pt idx="14">
                  <c:v>8.5499999999999972</c:v>
                </c:pt>
                <c:pt idx="15">
                  <c:v>8.7678571428571406</c:v>
                </c:pt>
                <c:pt idx="16">
                  <c:v>8.985714285714284</c:v>
                </c:pt>
                <c:pt idx="17">
                  <c:v>9.2035714285714274</c:v>
                </c:pt>
                <c:pt idx="18">
                  <c:v>9.4214285714285708</c:v>
                </c:pt>
                <c:pt idx="19">
                  <c:v>9.6392857142857142</c:v>
                </c:pt>
                <c:pt idx="20">
                  <c:v>9.8571428571428577</c:v>
                </c:pt>
                <c:pt idx="21">
                  <c:v>10.075000000000001</c:v>
                </c:pt>
                <c:pt idx="22">
                  <c:v>10.292857142857144</c:v>
                </c:pt>
                <c:pt idx="23">
                  <c:v>10.510714285714288</c:v>
                </c:pt>
                <c:pt idx="24">
                  <c:v>10.728571428571431</c:v>
                </c:pt>
                <c:pt idx="25">
                  <c:v>10.946428571428575</c:v>
                </c:pt>
                <c:pt idx="26">
                  <c:v>11.164285714285718</c:v>
                </c:pt>
                <c:pt idx="27">
                  <c:v>11.382142857142862</c:v>
                </c:pt>
                <c:pt idx="28">
                  <c:v>11.600000000000005</c:v>
                </c:pt>
                <c:pt idx="29">
                  <c:v>11.817857142857148</c:v>
                </c:pt>
                <c:pt idx="30">
                  <c:v>12.035714285714292</c:v>
                </c:pt>
                <c:pt idx="31">
                  <c:v>12.253571428571435</c:v>
                </c:pt>
                <c:pt idx="32">
                  <c:v>12.471428571428579</c:v>
                </c:pt>
                <c:pt idx="33">
                  <c:v>12.689285714285722</c:v>
                </c:pt>
                <c:pt idx="34">
                  <c:v>12.907142857142865</c:v>
                </c:pt>
                <c:pt idx="35">
                  <c:v>13.125000000000009</c:v>
                </c:pt>
                <c:pt idx="36">
                  <c:v>13.342857142857152</c:v>
                </c:pt>
                <c:pt idx="37">
                  <c:v>13.560714285714296</c:v>
                </c:pt>
                <c:pt idx="38">
                  <c:v>13.778571428571439</c:v>
                </c:pt>
                <c:pt idx="39">
                  <c:v>13.996428571428583</c:v>
                </c:pt>
                <c:pt idx="40">
                  <c:v>14.214285714285726</c:v>
                </c:pt>
                <c:pt idx="41">
                  <c:v>14.432142857142869</c:v>
                </c:pt>
                <c:pt idx="42">
                  <c:v>14.650000000000013</c:v>
                </c:pt>
                <c:pt idx="43">
                  <c:v>14.867857142857156</c:v>
                </c:pt>
                <c:pt idx="44">
                  <c:v>15.0857142857143</c:v>
                </c:pt>
                <c:pt idx="45">
                  <c:v>15.303571428571443</c:v>
                </c:pt>
                <c:pt idx="46">
                  <c:v>15.521428571428586</c:v>
                </c:pt>
                <c:pt idx="47">
                  <c:v>15.73928571428573</c:v>
                </c:pt>
                <c:pt idx="48">
                  <c:v>15.957142857142873</c:v>
                </c:pt>
                <c:pt idx="49">
                  <c:v>16.175000000000015</c:v>
                </c:pt>
                <c:pt idx="50">
                  <c:v>16.392857142857157</c:v>
                </c:pt>
                <c:pt idx="51">
                  <c:v>16.610714285714298</c:v>
                </c:pt>
                <c:pt idx="52">
                  <c:v>16.82857142857144</c:v>
                </c:pt>
                <c:pt idx="53">
                  <c:v>17.046428571428581</c:v>
                </c:pt>
                <c:pt idx="54">
                  <c:v>17.264285714285723</c:v>
                </c:pt>
                <c:pt idx="55">
                  <c:v>17.482142857142865</c:v>
                </c:pt>
                <c:pt idx="56">
                  <c:v>17.700000000000006</c:v>
                </c:pt>
                <c:pt idx="57">
                  <c:v>17.917857142857148</c:v>
                </c:pt>
                <c:pt idx="58">
                  <c:v>18.13571428571429</c:v>
                </c:pt>
                <c:pt idx="59">
                  <c:v>18.353571428571431</c:v>
                </c:pt>
                <c:pt idx="60">
                  <c:v>18.571428571428573</c:v>
                </c:pt>
                <c:pt idx="61">
                  <c:v>18.789285714285715</c:v>
                </c:pt>
                <c:pt idx="62">
                  <c:v>19.007142857142856</c:v>
                </c:pt>
                <c:pt idx="63">
                  <c:v>19.224999999999998</c:v>
                </c:pt>
                <c:pt idx="64">
                  <c:v>19.44285714285714</c:v>
                </c:pt>
                <c:pt idx="65">
                  <c:v>19.660714285714281</c:v>
                </c:pt>
                <c:pt idx="66">
                  <c:v>19.878571428571423</c:v>
                </c:pt>
                <c:pt idx="67">
                  <c:v>20.096428571428564</c:v>
                </c:pt>
                <c:pt idx="68">
                  <c:v>20.314285714285706</c:v>
                </c:pt>
                <c:pt idx="69">
                  <c:v>20.532142857142848</c:v>
                </c:pt>
                <c:pt idx="70">
                  <c:v>20.749999999999989</c:v>
                </c:pt>
                <c:pt idx="71">
                  <c:v>20.967857142857131</c:v>
                </c:pt>
                <c:pt idx="72">
                  <c:v>21.185714285714273</c:v>
                </c:pt>
                <c:pt idx="73">
                  <c:v>21.403571428571414</c:v>
                </c:pt>
                <c:pt idx="74">
                  <c:v>21.621428571428556</c:v>
                </c:pt>
                <c:pt idx="75">
                  <c:v>21.839285714285698</c:v>
                </c:pt>
                <c:pt idx="76">
                  <c:v>22.057142857142839</c:v>
                </c:pt>
                <c:pt idx="77">
                  <c:v>22.274999999999981</c:v>
                </c:pt>
                <c:pt idx="78">
                  <c:v>22.492857142857122</c:v>
                </c:pt>
                <c:pt idx="79">
                  <c:v>22.710714285714264</c:v>
                </c:pt>
                <c:pt idx="80">
                  <c:v>22.928571428571406</c:v>
                </c:pt>
                <c:pt idx="81">
                  <c:v>23.146428571428547</c:v>
                </c:pt>
                <c:pt idx="82">
                  <c:v>23.364285714285689</c:v>
                </c:pt>
                <c:pt idx="83">
                  <c:v>23.582142857142831</c:v>
                </c:pt>
                <c:pt idx="84">
                  <c:v>23.799999999999972</c:v>
                </c:pt>
                <c:pt idx="85">
                  <c:v>24.017857142857114</c:v>
                </c:pt>
                <c:pt idx="86">
                  <c:v>24.235714285714256</c:v>
                </c:pt>
                <c:pt idx="87">
                  <c:v>24.453571428571397</c:v>
                </c:pt>
                <c:pt idx="88">
                  <c:v>24.671428571428539</c:v>
                </c:pt>
                <c:pt idx="89">
                  <c:v>24.88928571428568</c:v>
                </c:pt>
                <c:pt idx="90">
                  <c:v>25.107142857142822</c:v>
                </c:pt>
                <c:pt idx="91">
                  <c:v>25.324999999999964</c:v>
                </c:pt>
                <c:pt idx="92">
                  <c:v>25.542857142857105</c:v>
                </c:pt>
                <c:pt idx="93">
                  <c:v>25.760714285714247</c:v>
                </c:pt>
                <c:pt idx="94">
                  <c:v>25.978571428571389</c:v>
                </c:pt>
                <c:pt idx="95">
                  <c:v>26.19642857142853</c:v>
                </c:pt>
                <c:pt idx="96">
                  <c:v>26.414285714285672</c:v>
                </c:pt>
                <c:pt idx="97">
                  <c:v>26.632142857142814</c:v>
                </c:pt>
                <c:pt idx="98">
                  <c:v>26.849999999999955</c:v>
                </c:pt>
                <c:pt idx="99">
                  <c:v>27.067857142857097</c:v>
                </c:pt>
                <c:pt idx="100">
                  <c:v>27.285714285714239</c:v>
                </c:pt>
                <c:pt idx="101">
                  <c:v>27.50357142857138</c:v>
                </c:pt>
                <c:pt idx="102">
                  <c:v>27.721428571428522</c:v>
                </c:pt>
                <c:pt idx="103">
                  <c:v>27.939285714285663</c:v>
                </c:pt>
                <c:pt idx="104">
                  <c:v>28.157142857142805</c:v>
                </c:pt>
                <c:pt idx="105">
                  <c:v>28.374999999999947</c:v>
                </c:pt>
                <c:pt idx="106">
                  <c:v>28.592857142857088</c:v>
                </c:pt>
                <c:pt idx="107">
                  <c:v>28.81071428571423</c:v>
                </c:pt>
                <c:pt idx="108">
                  <c:v>29.028571428571372</c:v>
                </c:pt>
                <c:pt idx="109">
                  <c:v>29.246428571428513</c:v>
                </c:pt>
                <c:pt idx="110">
                  <c:v>29.464285714285655</c:v>
                </c:pt>
                <c:pt idx="111">
                  <c:v>29.682142857142797</c:v>
                </c:pt>
                <c:pt idx="112">
                  <c:v>29.899999999999938</c:v>
                </c:pt>
                <c:pt idx="113">
                  <c:v>30.11785714285708</c:v>
                </c:pt>
                <c:pt idx="114">
                  <c:v>30.335714285714221</c:v>
                </c:pt>
                <c:pt idx="115">
                  <c:v>30.553571428571363</c:v>
                </c:pt>
                <c:pt idx="116">
                  <c:v>30.771428571428505</c:v>
                </c:pt>
                <c:pt idx="117">
                  <c:v>30.989285714285646</c:v>
                </c:pt>
                <c:pt idx="118">
                  <c:v>31.207142857142788</c:v>
                </c:pt>
                <c:pt idx="119">
                  <c:v>31.42499999999993</c:v>
                </c:pt>
                <c:pt idx="120">
                  <c:v>31.642857142857071</c:v>
                </c:pt>
                <c:pt idx="121">
                  <c:v>31.860714285714213</c:v>
                </c:pt>
                <c:pt idx="122">
                  <c:v>32.078571428571358</c:v>
                </c:pt>
                <c:pt idx="123">
                  <c:v>32.2964285714285</c:v>
                </c:pt>
                <c:pt idx="124">
                  <c:v>32.514285714285641</c:v>
                </c:pt>
                <c:pt idx="125">
                  <c:v>32.732142857142783</c:v>
                </c:pt>
                <c:pt idx="126">
                  <c:v>32.949999999999925</c:v>
                </c:pt>
                <c:pt idx="127">
                  <c:v>33.167857142857066</c:v>
                </c:pt>
                <c:pt idx="128">
                  <c:v>33.385714285714208</c:v>
                </c:pt>
                <c:pt idx="129">
                  <c:v>33.60357142857135</c:v>
                </c:pt>
                <c:pt idx="130">
                  <c:v>33.821428571428491</c:v>
                </c:pt>
                <c:pt idx="131">
                  <c:v>34.039285714285633</c:v>
                </c:pt>
                <c:pt idx="132">
                  <c:v>34.257142857142775</c:v>
                </c:pt>
                <c:pt idx="133">
                  <c:v>34.474999999999916</c:v>
                </c:pt>
                <c:pt idx="134">
                  <c:v>34.692857142857058</c:v>
                </c:pt>
                <c:pt idx="135">
                  <c:v>34.910714285714199</c:v>
                </c:pt>
                <c:pt idx="136">
                  <c:v>35.128571428571341</c:v>
                </c:pt>
                <c:pt idx="137">
                  <c:v>35.346428571428483</c:v>
                </c:pt>
                <c:pt idx="138">
                  <c:v>35.564285714285624</c:v>
                </c:pt>
                <c:pt idx="139">
                  <c:v>35.782142857142766</c:v>
                </c:pt>
                <c:pt idx="140">
                  <c:v>35.999999999999908</c:v>
                </c:pt>
              </c:numCache>
            </c:numRef>
          </c:xVal>
          <c:yVal>
            <c:numRef>
              <c:f>Design!$U$34:$FE$34</c:f>
              <c:numCache>
                <c:formatCode>0.00</c:formatCode>
                <c:ptCount val="141"/>
                <c:pt idx="0">
                  <c:v>0.63778571428571418</c:v>
                </c:pt>
                <c:pt idx="1">
                  <c:v>0.62343826530612245</c:v>
                </c:pt>
                <c:pt idx="2">
                  <c:v>0.60909081632653062</c:v>
                </c:pt>
                <c:pt idx="3">
                  <c:v>0.59474336734693889</c:v>
                </c:pt>
                <c:pt idx="4">
                  <c:v>0.58039591836734705</c:v>
                </c:pt>
                <c:pt idx="5">
                  <c:v>0.56604846938775522</c:v>
                </c:pt>
                <c:pt idx="6">
                  <c:v>0.55170102040816338</c:v>
                </c:pt>
                <c:pt idx="7">
                  <c:v>0.53735357142857154</c:v>
                </c:pt>
                <c:pt idx="8">
                  <c:v>0.5230061224489797</c:v>
                </c:pt>
                <c:pt idx="9">
                  <c:v>0.50865867346938787</c:v>
                </c:pt>
                <c:pt idx="10">
                  <c:v>0.49431122448979614</c:v>
                </c:pt>
                <c:pt idx="11">
                  <c:v>0.4799637755102043</c:v>
                </c:pt>
                <c:pt idx="12">
                  <c:v>0.46561632653061247</c:v>
                </c:pt>
                <c:pt idx="13">
                  <c:v>0.45126887755102063</c:v>
                </c:pt>
                <c:pt idx="14">
                  <c:v>0.43692142857142868</c:v>
                </c:pt>
                <c:pt idx="15">
                  <c:v>0.42257397959183685</c:v>
                </c:pt>
                <c:pt idx="16">
                  <c:v>0.40822653061224501</c:v>
                </c:pt>
                <c:pt idx="17">
                  <c:v>0.39387908163265306</c:v>
                </c:pt>
                <c:pt idx="18">
                  <c:v>0.37953163265306122</c:v>
                </c:pt>
                <c:pt idx="19">
                  <c:v>0.36518418367346939</c:v>
                </c:pt>
                <c:pt idx="20">
                  <c:v>0.35083673469387744</c:v>
                </c:pt>
                <c:pt idx="21">
                  <c:v>0.3364892857142856</c:v>
                </c:pt>
                <c:pt idx="22">
                  <c:v>0.32214183673469365</c:v>
                </c:pt>
                <c:pt idx="23">
                  <c:v>0.30779438775510193</c:v>
                </c:pt>
                <c:pt idx="24">
                  <c:v>0.29344693877550998</c:v>
                </c:pt>
                <c:pt idx="25">
                  <c:v>0.27909948979591814</c:v>
                </c:pt>
                <c:pt idx="26">
                  <c:v>0.2647520408163262</c:v>
                </c:pt>
                <c:pt idx="27">
                  <c:v>0.25040459183673447</c:v>
                </c:pt>
                <c:pt idx="28">
                  <c:v>0.23605714285714252</c:v>
                </c:pt>
                <c:pt idx="29">
                  <c:v>0.22170969387755068</c:v>
                </c:pt>
                <c:pt idx="30">
                  <c:v>0.20736224489795874</c:v>
                </c:pt>
                <c:pt idx="31">
                  <c:v>0.19301479591836679</c:v>
                </c:pt>
                <c:pt idx="32">
                  <c:v>0.17866734693877506</c:v>
                </c:pt>
                <c:pt idx="33">
                  <c:v>0.16431989795918311</c:v>
                </c:pt>
                <c:pt idx="34">
                  <c:v>0.14997244897959128</c:v>
                </c:pt>
                <c:pt idx="35">
                  <c:v>0.13562499999999933</c:v>
                </c:pt>
                <c:pt idx="36">
                  <c:v>0.12127755102040749</c:v>
                </c:pt>
                <c:pt idx="37">
                  <c:v>0.10693010204081566</c:v>
                </c:pt>
                <c:pt idx="38">
                  <c:v>9.2582653061223819E-2</c:v>
                </c:pt>
                <c:pt idx="39">
                  <c:v>7.8235204081631871E-2</c:v>
                </c:pt>
                <c:pt idx="40">
                  <c:v>6.3887755102040034E-2</c:v>
                </c:pt>
                <c:pt idx="41">
                  <c:v>4.9540306122448086E-2</c:v>
                </c:pt>
                <c:pt idx="42">
                  <c:v>3.5192857142856249E-2</c:v>
                </c:pt>
                <c:pt idx="43">
                  <c:v>2.0845408163264412E-2</c:v>
                </c:pt>
                <c:pt idx="44">
                  <c:v>6.4979591836724637E-3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yVal>
          <c:smooth val="0"/>
        </c:ser>
        <c:ser>
          <c:idx val="2"/>
          <c:order val="1"/>
          <c:tx>
            <c:v>Dbuck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Design!$U$31:$FE$31</c:f>
              <c:numCache>
                <c:formatCode>0.00</c:formatCode>
                <c:ptCount val="141"/>
                <c:pt idx="0">
                  <c:v>5.5</c:v>
                </c:pt>
                <c:pt idx="1">
                  <c:v>5.7178571428571425</c:v>
                </c:pt>
                <c:pt idx="2">
                  <c:v>5.9357142857142851</c:v>
                </c:pt>
                <c:pt idx="3">
                  <c:v>6.1535714285714276</c:v>
                </c:pt>
                <c:pt idx="4">
                  <c:v>6.3714285714285701</c:v>
                </c:pt>
                <c:pt idx="5">
                  <c:v>6.5892857142857126</c:v>
                </c:pt>
                <c:pt idx="6">
                  <c:v>6.8071428571428552</c:v>
                </c:pt>
                <c:pt idx="7">
                  <c:v>7.0249999999999977</c:v>
                </c:pt>
                <c:pt idx="8">
                  <c:v>7.2428571428571402</c:v>
                </c:pt>
                <c:pt idx="9">
                  <c:v>7.4607142857142827</c:v>
                </c:pt>
                <c:pt idx="10">
                  <c:v>7.6785714285714253</c:v>
                </c:pt>
                <c:pt idx="11">
                  <c:v>7.8964285714285678</c:v>
                </c:pt>
                <c:pt idx="12">
                  <c:v>8.1142857142857103</c:v>
                </c:pt>
                <c:pt idx="13">
                  <c:v>8.3321428571428537</c:v>
                </c:pt>
                <c:pt idx="14">
                  <c:v>8.5499999999999972</c:v>
                </c:pt>
                <c:pt idx="15">
                  <c:v>8.7678571428571406</c:v>
                </c:pt>
                <c:pt idx="16">
                  <c:v>8.985714285714284</c:v>
                </c:pt>
                <c:pt idx="17">
                  <c:v>9.2035714285714274</c:v>
                </c:pt>
                <c:pt idx="18">
                  <c:v>9.4214285714285708</c:v>
                </c:pt>
                <c:pt idx="19">
                  <c:v>9.6392857142857142</c:v>
                </c:pt>
                <c:pt idx="20">
                  <c:v>9.8571428571428577</c:v>
                </c:pt>
                <c:pt idx="21">
                  <c:v>10.075000000000001</c:v>
                </c:pt>
                <c:pt idx="22">
                  <c:v>10.292857142857144</c:v>
                </c:pt>
                <c:pt idx="23">
                  <c:v>10.510714285714288</c:v>
                </c:pt>
                <c:pt idx="24">
                  <c:v>10.728571428571431</c:v>
                </c:pt>
                <c:pt idx="25">
                  <c:v>10.946428571428575</c:v>
                </c:pt>
                <c:pt idx="26">
                  <c:v>11.164285714285718</c:v>
                </c:pt>
                <c:pt idx="27">
                  <c:v>11.382142857142862</c:v>
                </c:pt>
                <c:pt idx="28">
                  <c:v>11.600000000000005</c:v>
                </c:pt>
                <c:pt idx="29">
                  <c:v>11.817857142857148</c:v>
                </c:pt>
                <c:pt idx="30">
                  <c:v>12.035714285714292</c:v>
                </c:pt>
                <c:pt idx="31">
                  <c:v>12.253571428571435</c:v>
                </c:pt>
                <c:pt idx="32">
                  <c:v>12.471428571428579</c:v>
                </c:pt>
                <c:pt idx="33">
                  <c:v>12.689285714285722</c:v>
                </c:pt>
                <c:pt idx="34">
                  <c:v>12.907142857142865</c:v>
                </c:pt>
                <c:pt idx="35">
                  <c:v>13.125000000000009</c:v>
                </c:pt>
                <c:pt idx="36">
                  <c:v>13.342857142857152</c:v>
                </c:pt>
                <c:pt idx="37">
                  <c:v>13.560714285714296</c:v>
                </c:pt>
                <c:pt idx="38">
                  <c:v>13.778571428571439</c:v>
                </c:pt>
                <c:pt idx="39">
                  <c:v>13.996428571428583</c:v>
                </c:pt>
                <c:pt idx="40">
                  <c:v>14.214285714285726</c:v>
                </c:pt>
                <c:pt idx="41">
                  <c:v>14.432142857142869</c:v>
                </c:pt>
                <c:pt idx="42">
                  <c:v>14.650000000000013</c:v>
                </c:pt>
                <c:pt idx="43">
                  <c:v>14.867857142857156</c:v>
                </c:pt>
                <c:pt idx="44">
                  <c:v>15.0857142857143</c:v>
                </c:pt>
                <c:pt idx="45">
                  <c:v>15.303571428571443</c:v>
                </c:pt>
                <c:pt idx="46">
                  <c:v>15.521428571428586</c:v>
                </c:pt>
                <c:pt idx="47">
                  <c:v>15.73928571428573</c:v>
                </c:pt>
                <c:pt idx="48">
                  <c:v>15.957142857142873</c:v>
                </c:pt>
                <c:pt idx="49">
                  <c:v>16.175000000000015</c:v>
                </c:pt>
                <c:pt idx="50">
                  <c:v>16.392857142857157</c:v>
                </c:pt>
                <c:pt idx="51">
                  <c:v>16.610714285714298</c:v>
                </c:pt>
                <c:pt idx="52">
                  <c:v>16.82857142857144</c:v>
                </c:pt>
                <c:pt idx="53">
                  <c:v>17.046428571428581</c:v>
                </c:pt>
                <c:pt idx="54">
                  <c:v>17.264285714285723</c:v>
                </c:pt>
                <c:pt idx="55">
                  <c:v>17.482142857142865</c:v>
                </c:pt>
                <c:pt idx="56">
                  <c:v>17.700000000000006</c:v>
                </c:pt>
                <c:pt idx="57">
                  <c:v>17.917857142857148</c:v>
                </c:pt>
                <c:pt idx="58">
                  <c:v>18.13571428571429</c:v>
                </c:pt>
                <c:pt idx="59">
                  <c:v>18.353571428571431</c:v>
                </c:pt>
                <c:pt idx="60">
                  <c:v>18.571428571428573</c:v>
                </c:pt>
                <c:pt idx="61">
                  <c:v>18.789285714285715</c:v>
                </c:pt>
                <c:pt idx="62">
                  <c:v>19.007142857142856</c:v>
                </c:pt>
                <c:pt idx="63">
                  <c:v>19.224999999999998</c:v>
                </c:pt>
                <c:pt idx="64">
                  <c:v>19.44285714285714</c:v>
                </c:pt>
                <c:pt idx="65">
                  <c:v>19.660714285714281</c:v>
                </c:pt>
                <c:pt idx="66">
                  <c:v>19.878571428571423</c:v>
                </c:pt>
                <c:pt idx="67">
                  <c:v>20.096428571428564</c:v>
                </c:pt>
                <c:pt idx="68">
                  <c:v>20.314285714285706</c:v>
                </c:pt>
                <c:pt idx="69">
                  <c:v>20.532142857142848</c:v>
                </c:pt>
                <c:pt idx="70">
                  <c:v>20.749999999999989</c:v>
                </c:pt>
                <c:pt idx="71">
                  <c:v>20.967857142857131</c:v>
                </c:pt>
                <c:pt idx="72">
                  <c:v>21.185714285714273</c:v>
                </c:pt>
                <c:pt idx="73">
                  <c:v>21.403571428571414</c:v>
                </c:pt>
                <c:pt idx="74">
                  <c:v>21.621428571428556</c:v>
                </c:pt>
                <c:pt idx="75">
                  <c:v>21.839285714285698</c:v>
                </c:pt>
                <c:pt idx="76">
                  <c:v>22.057142857142839</c:v>
                </c:pt>
                <c:pt idx="77">
                  <c:v>22.274999999999981</c:v>
                </c:pt>
                <c:pt idx="78">
                  <c:v>22.492857142857122</c:v>
                </c:pt>
                <c:pt idx="79">
                  <c:v>22.710714285714264</c:v>
                </c:pt>
                <c:pt idx="80">
                  <c:v>22.928571428571406</c:v>
                </c:pt>
                <c:pt idx="81">
                  <c:v>23.146428571428547</c:v>
                </c:pt>
                <c:pt idx="82">
                  <c:v>23.364285714285689</c:v>
                </c:pt>
                <c:pt idx="83">
                  <c:v>23.582142857142831</c:v>
                </c:pt>
                <c:pt idx="84">
                  <c:v>23.799999999999972</c:v>
                </c:pt>
                <c:pt idx="85">
                  <c:v>24.017857142857114</c:v>
                </c:pt>
                <c:pt idx="86">
                  <c:v>24.235714285714256</c:v>
                </c:pt>
                <c:pt idx="87">
                  <c:v>24.453571428571397</c:v>
                </c:pt>
                <c:pt idx="88">
                  <c:v>24.671428571428539</c:v>
                </c:pt>
                <c:pt idx="89">
                  <c:v>24.88928571428568</c:v>
                </c:pt>
                <c:pt idx="90">
                  <c:v>25.107142857142822</c:v>
                </c:pt>
                <c:pt idx="91">
                  <c:v>25.324999999999964</c:v>
                </c:pt>
                <c:pt idx="92">
                  <c:v>25.542857142857105</c:v>
                </c:pt>
                <c:pt idx="93">
                  <c:v>25.760714285714247</c:v>
                </c:pt>
                <c:pt idx="94">
                  <c:v>25.978571428571389</c:v>
                </c:pt>
                <c:pt idx="95">
                  <c:v>26.19642857142853</c:v>
                </c:pt>
                <c:pt idx="96">
                  <c:v>26.414285714285672</c:v>
                </c:pt>
                <c:pt idx="97">
                  <c:v>26.632142857142814</c:v>
                </c:pt>
                <c:pt idx="98">
                  <c:v>26.849999999999955</c:v>
                </c:pt>
                <c:pt idx="99">
                  <c:v>27.067857142857097</c:v>
                </c:pt>
                <c:pt idx="100">
                  <c:v>27.285714285714239</c:v>
                </c:pt>
                <c:pt idx="101">
                  <c:v>27.50357142857138</c:v>
                </c:pt>
                <c:pt idx="102">
                  <c:v>27.721428571428522</c:v>
                </c:pt>
                <c:pt idx="103">
                  <c:v>27.939285714285663</c:v>
                </c:pt>
                <c:pt idx="104">
                  <c:v>28.157142857142805</c:v>
                </c:pt>
                <c:pt idx="105">
                  <c:v>28.374999999999947</c:v>
                </c:pt>
                <c:pt idx="106">
                  <c:v>28.592857142857088</c:v>
                </c:pt>
                <c:pt idx="107">
                  <c:v>28.81071428571423</c:v>
                </c:pt>
                <c:pt idx="108">
                  <c:v>29.028571428571372</c:v>
                </c:pt>
                <c:pt idx="109">
                  <c:v>29.246428571428513</c:v>
                </c:pt>
                <c:pt idx="110">
                  <c:v>29.464285714285655</c:v>
                </c:pt>
                <c:pt idx="111">
                  <c:v>29.682142857142797</c:v>
                </c:pt>
                <c:pt idx="112">
                  <c:v>29.899999999999938</c:v>
                </c:pt>
                <c:pt idx="113">
                  <c:v>30.11785714285708</c:v>
                </c:pt>
                <c:pt idx="114">
                  <c:v>30.335714285714221</c:v>
                </c:pt>
                <c:pt idx="115">
                  <c:v>30.553571428571363</c:v>
                </c:pt>
                <c:pt idx="116">
                  <c:v>30.771428571428505</c:v>
                </c:pt>
                <c:pt idx="117">
                  <c:v>30.989285714285646</c:v>
                </c:pt>
                <c:pt idx="118">
                  <c:v>31.207142857142788</c:v>
                </c:pt>
                <c:pt idx="119">
                  <c:v>31.42499999999993</c:v>
                </c:pt>
                <c:pt idx="120">
                  <c:v>31.642857142857071</c:v>
                </c:pt>
                <c:pt idx="121">
                  <c:v>31.860714285714213</c:v>
                </c:pt>
                <c:pt idx="122">
                  <c:v>32.078571428571358</c:v>
                </c:pt>
                <c:pt idx="123">
                  <c:v>32.2964285714285</c:v>
                </c:pt>
                <c:pt idx="124">
                  <c:v>32.514285714285641</c:v>
                </c:pt>
                <c:pt idx="125">
                  <c:v>32.732142857142783</c:v>
                </c:pt>
                <c:pt idx="126">
                  <c:v>32.949999999999925</c:v>
                </c:pt>
                <c:pt idx="127">
                  <c:v>33.167857142857066</c:v>
                </c:pt>
                <c:pt idx="128">
                  <c:v>33.385714285714208</c:v>
                </c:pt>
                <c:pt idx="129">
                  <c:v>33.60357142857135</c:v>
                </c:pt>
                <c:pt idx="130">
                  <c:v>33.821428571428491</c:v>
                </c:pt>
                <c:pt idx="131">
                  <c:v>34.039285714285633</c:v>
                </c:pt>
                <c:pt idx="132">
                  <c:v>34.257142857142775</c:v>
                </c:pt>
                <c:pt idx="133">
                  <c:v>34.474999999999916</c:v>
                </c:pt>
                <c:pt idx="134">
                  <c:v>34.692857142857058</c:v>
                </c:pt>
                <c:pt idx="135">
                  <c:v>34.910714285714199</c:v>
                </c:pt>
                <c:pt idx="136">
                  <c:v>35.128571428571341</c:v>
                </c:pt>
                <c:pt idx="137">
                  <c:v>35.346428571428483</c:v>
                </c:pt>
                <c:pt idx="138">
                  <c:v>35.564285714285624</c:v>
                </c:pt>
                <c:pt idx="139">
                  <c:v>35.782142857142766</c:v>
                </c:pt>
                <c:pt idx="140">
                  <c:v>35.999999999999908</c:v>
                </c:pt>
              </c:numCache>
            </c:numRef>
          </c:xVal>
          <c:yVal>
            <c:numRef>
              <c:f>Design!$U$33:$FE$33</c:f>
              <c:numCache>
                <c:formatCode>0.00</c:formatCode>
                <c:ptCount val="141"/>
                <c:pt idx="0">
                  <c:v>0.91049106798564106</c:v>
                </c:pt>
                <c:pt idx="1">
                  <c:v>0.90229869545294661</c:v>
                </c:pt>
                <c:pt idx="2">
                  <c:v>0.89523978772729051</c:v>
                </c:pt>
                <c:pt idx="3">
                  <c:v>0.88909780281569162</c:v>
                </c:pt>
                <c:pt idx="4">
                  <c:v>0.88370905397554134</c:v>
                </c:pt>
                <c:pt idx="5">
                  <c:v>0.87894715978766536</c:v>
                </c:pt>
                <c:pt idx="6">
                  <c:v>0.87471278270133812</c:v>
                </c:pt>
                <c:pt idx="7">
                  <c:v>0.87092663888615318</c:v>
                </c:pt>
                <c:pt idx="8">
                  <c:v>0.8675246061946168</c:v>
                </c:pt>
                <c:pt idx="9">
                  <c:v>0.86445422000473882</c:v>
                </c:pt>
                <c:pt idx="10">
                  <c:v>0.8616721119640024</c:v>
                </c:pt>
                <c:pt idx="11">
                  <c:v>0.85914210441994721</c:v>
                </c:pt>
                <c:pt idx="12">
                  <c:v>0.85683377025689123</c:v>
                </c:pt>
                <c:pt idx="13">
                  <c:v>0.85472132914238363</c:v>
                </c:pt>
                <c:pt idx="14">
                  <c:v>0.8527827909241209</c:v>
                </c:pt>
                <c:pt idx="15">
                  <c:v>0.85099928327151364</c:v>
                </c:pt>
                <c:pt idx="16">
                  <c:v>0.84935451849080912</c:v>
                </c:pt>
                <c:pt idx="17">
                  <c:v>0.84783436673474544</c:v>
                </c:pt>
                <c:pt idx="18">
                  <c:v>0.84642651144120817</c:v>
                </c:pt>
                <c:pt idx="19">
                  <c:v>0.84512016896290865</c:v>
                </c:pt>
                <c:pt idx="20">
                  <c:v>0.84390585876976809</c:v>
                </c:pt>
                <c:pt idx="21">
                  <c:v>0.84277521383422382</c:v>
                </c:pt>
                <c:pt idx="22">
                  <c:v>0.84172082319575137</c:v>
                </c:pt>
                <c:pt idx="23">
                  <c:v>0.84073610048353564</c:v>
                </c:pt>
                <c:pt idx="24">
                  <c:v>0.83981517352143753</c:v>
                </c:pt>
                <c:pt idx="25">
                  <c:v>0.83895279116398636</c:v>
                </c:pt>
                <c:pt idx="26">
                  <c:v>0.83814424429936252</c:v>
                </c:pt>
                <c:pt idx="27">
                  <c:v>0.83738529856505195</c:v>
                </c:pt>
                <c:pt idx="28">
                  <c:v>0.83667213679775865</c:v>
                </c:pt>
                <c:pt idx="29">
                  <c:v>0.83600130961320862</c:v>
                </c:pt>
                <c:pt idx="30">
                  <c:v>0.8353593947664183</c:v>
                </c:pt>
                <c:pt idx="31">
                  <c:v>0.83471606330193482</c:v>
                </c:pt>
                <c:pt idx="32">
                  <c:v>0.83410611548434921</c:v>
                </c:pt>
                <c:pt idx="33">
                  <c:v>0.83352721540875618</c:v>
                </c:pt>
                <c:pt idx="34">
                  <c:v>0.83297723189228234</c:v>
                </c:pt>
                <c:pt idx="35">
                  <c:v>0.83245421697470501</c:v>
                </c:pt>
                <c:pt idx="36">
                  <c:v>0.83195638704494557</c:v>
                </c:pt>
                <c:pt idx="37">
                  <c:v>0.83148210622844532</c:v>
                </c:pt>
                <c:pt idx="38">
                  <c:v>0.83102987172721643</c:v>
                </c:pt>
                <c:pt idx="39">
                  <c:v>0.83059830085139041</c:v>
                </c:pt>
                <c:pt idx="40">
                  <c:v>0.83018611952018229</c:v>
                </c:pt>
                <c:pt idx="41">
                  <c:v>0.82979215204282775</c:v>
                </c:pt>
                <c:pt idx="42">
                  <c:v>0.8294153120173815</c:v>
                </c:pt>
                <c:pt idx="43">
                  <c:v>0.82905459420825112</c:v>
                </c:pt>
                <c:pt idx="44">
                  <c:v>0.82870906728271276</c:v>
                </c:pt>
                <c:pt idx="45">
                  <c:v>0.82290317703892102</c:v>
                </c:pt>
                <c:pt idx="46">
                  <c:v>0.81156101027152683</c:v>
                </c:pt>
                <c:pt idx="47">
                  <c:v>0.80052733225887818</c:v>
                </c:pt>
                <c:pt idx="48">
                  <c:v>0.78978972418852522</c:v>
                </c:pt>
                <c:pt idx="49">
                  <c:v>0.77933642513353085</c:v>
                </c:pt>
                <c:pt idx="50">
                  <c:v>0.76915628904870403</c:v>
                </c:pt>
                <c:pt idx="51">
                  <c:v>0.75923874509730349</c:v>
                </c:pt>
                <c:pt idx="52">
                  <c:v>0.74957376101104067</c:v>
                </c:pt>
                <c:pt idx="53">
                  <c:v>0.74015180921615442</c:v>
                </c:pt>
                <c:pt idx="54">
                  <c:v>0.73096383548489641</c:v>
                </c:pt>
                <c:pt idx="55">
                  <c:v>0.72200122989541948</c:v>
                </c:pt>
                <c:pt idx="56">
                  <c:v>0.71325579990411259</c:v>
                </c:pt>
                <c:pt idx="57">
                  <c:v>0.70471974535321691</c:v>
                </c:pt>
                <c:pt idx="58">
                  <c:v>0.69638517196567817</c:v>
                </c:pt>
                <c:pt idx="59">
                  <c:v>0.68824518426648273</c:v>
                </c:pt>
                <c:pt idx="60">
                  <c:v>0.68029330771774044</c:v>
                </c:pt>
                <c:pt idx="61">
                  <c:v>0.672523094953692</c:v>
                </c:pt>
                <c:pt idx="62">
                  <c:v>0.66492838995281933</c:v>
                </c:pt>
                <c:pt idx="63">
                  <c:v>0.6575033117630763</c:v>
                </c:pt>
                <c:pt idx="64">
                  <c:v>0.65024223930615466</c:v>
                </c:pt>
                <c:pt idx="65">
                  <c:v>0.64313979717822101</c:v>
                </c:pt>
                <c:pt idx="66">
                  <c:v>0.63619084237170498</c:v>
                </c:pt>
                <c:pt idx="67">
                  <c:v>0.62939045184917208</c:v>
                </c:pt>
                <c:pt idx="68">
                  <c:v>0.62273391090615415</c:v>
                </c:pt>
                <c:pt idx="69">
                  <c:v>0.61621670226510461</c:v>
                </c:pt>
                <c:pt idx="70">
                  <c:v>0.60983449584743377</c:v>
                </c:pt>
                <c:pt idx="71">
                  <c:v>0.60358313917493955</c:v>
                </c:pt>
                <c:pt idx="72">
                  <c:v>0.59745864835590123</c:v>
                </c:pt>
                <c:pt idx="73">
                  <c:v>0.59145719961469956</c:v>
                </c:pt>
                <c:pt idx="74">
                  <c:v>0.58557512132710543</c:v>
                </c:pt>
                <c:pt idx="75">
                  <c:v>0.57980888652635987</c:v>
                </c:pt>
                <c:pt idx="76">
                  <c:v>0.57415510584789409</c:v>
                </c:pt>
                <c:pt idx="77">
                  <c:v>0.56861052088302055</c:v>
                </c:pt>
                <c:pt idx="78">
                  <c:v>0.56317199791420092</c:v>
                </c:pt>
                <c:pt idx="79">
                  <c:v>0.55783652200657063</c:v>
                </c:pt>
                <c:pt idx="80">
                  <c:v>0.55260119143230679</c:v>
                </c:pt>
                <c:pt idx="81">
                  <c:v>0.54746321240616269</c:v>
                </c:pt>
                <c:pt idx="82">
                  <c:v>0.54241989411209668</c:v>
                </c:pt>
                <c:pt idx="83">
                  <c:v>0.53746864400238525</c:v>
                </c:pt>
                <c:pt idx="84">
                  <c:v>0.53260696335195978</c:v>
                </c:pt>
                <c:pt idx="85">
                  <c:v>0.5278324430519451</c:v>
                </c:pt>
                <c:pt idx="86">
                  <c:v>0.52314275962751478</c:v>
                </c:pt>
                <c:pt idx="87">
                  <c:v>0.51853567146623225</c:v>
                </c:pt>
                <c:pt idx="88">
                  <c:v>0.51400901524400755</c:v>
                </c:pt>
                <c:pt idx="89">
                  <c:v>0.50956070253669428</c:v>
                </c:pt>
                <c:pt idx="90">
                  <c:v>0.5051887166061747</c:v>
                </c:pt>
                <c:pt idx="91">
                  <c:v>0.50089110935053627</c:v>
                </c:pt>
                <c:pt idx="92">
                  <c:v>0.49666599840864939</c:v>
                </c:pt>
                <c:pt idx="93">
                  <c:v>0.49251156441009974</c:v>
                </c:pt>
                <c:pt idx="94">
                  <c:v>0.48842604836203585</c:v>
                </c:pt>
                <c:pt idx="95">
                  <c:v>0.48440774916504092</c:v>
                </c:pt>
                <c:pt idx="96">
                  <c:v>0.48045502125065886</c:v>
                </c:pt>
                <c:pt idx="97">
                  <c:v>0.47656627233367882</c:v>
                </c:pt>
                <c:pt idx="98">
                  <c:v>0.4727399612727276</c:v>
                </c:pt>
                <c:pt idx="99">
                  <c:v>0.46897459603312791</c:v>
                </c:pt>
                <c:pt idx="100">
                  <c:v>0.46526873174636552</c:v>
                </c:pt>
                <c:pt idx="101">
                  <c:v>0.46162096886086146</c:v>
                </c:pt>
                <c:pt idx="102">
                  <c:v>0.45802995137907548</c:v>
                </c:pt>
                <c:pt idx="103">
                  <c:v>0.45449436517627567</c:v>
                </c:pt>
                <c:pt idx="104">
                  <c:v>0.45101293639659379</c:v>
                </c:pt>
                <c:pt idx="105">
                  <c:v>0.44758442992225211</c:v>
                </c:pt>
                <c:pt idx="106">
                  <c:v>0.44420764791209827</c:v>
                </c:pt>
                <c:pt idx="107">
                  <c:v>0.44088142840581279</c:v>
                </c:pt>
                <c:pt idx="108">
                  <c:v>0.43760464399037285</c:v>
                </c:pt>
                <c:pt idx="109">
                  <c:v>0.43437620052555664</c:v>
                </c:pt>
                <c:pt idx="110">
                  <c:v>0.43119503592545977</c:v>
                </c:pt>
                <c:pt idx="111">
                  <c:v>0.42806011899317531</c:v>
                </c:pt>
                <c:pt idx="112">
                  <c:v>0.42497044830594749</c:v>
                </c:pt>
                <c:pt idx="113">
                  <c:v>0.42192505114826967</c:v>
                </c:pt>
                <c:pt idx="114">
                  <c:v>0.41892298249053717</c:v>
                </c:pt>
                <c:pt idx="115">
                  <c:v>0.41596332401100139</c:v>
                </c:pt>
                <c:pt idx="116">
                  <c:v>0.41304518315889938</c:v>
                </c:pt>
                <c:pt idx="117">
                  <c:v>0.41016769225675032</c:v>
                </c:pt>
                <c:pt idx="118">
                  <c:v>0.40733000763992211</c:v>
                </c:pt>
                <c:pt idx="119">
                  <c:v>0.4045313088316751</c:v>
                </c:pt>
                <c:pt idx="120">
                  <c:v>0.40177079775198893</c:v>
                </c:pt>
                <c:pt idx="121">
                  <c:v>0.39904769795856859</c:v>
                </c:pt>
                <c:pt idx="122">
                  <c:v>0.39636125391851473</c:v>
                </c:pt>
                <c:pt idx="123">
                  <c:v>0.39371073030922099</c:v>
                </c:pt>
                <c:pt idx="124">
                  <c:v>0.39109541134714126</c:v>
                </c:pt>
                <c:pt idx="125">
                  <c:v>0.38851460014313877</c:v>
                </c:pt>
                <c:pt idx="126">
                  <c:v>0.38596761808319663</c:v>
                </c:pt>
                <c:pt idx="127">
                  <c:v>0.38345380423333536</c:v>
                </c:pt>
                <c:pt idx="128">
                  <c:v>0.38097251476763944</c:v>
                </c:pt>
                <c:pt idx="129">
                  <c:v>0.37852312241835523</c:v>
                </c:pt>
                <c:pt idx="130">
                  <c:v>0.37610501594707091</c:v>
                </c:pt>
                <c:pt idx="131">
                  <c:v>0.37371759963604451</c:v>
                </c:pt>
                <c:pt idx="132">
                  <c:v>0.37136029279878946</c:v>
                </c:pt>
                <c:pt idx="133">
                  <c:v>0.36903252930907371</c:v>
                </c:pt>
                <c:pt idx="134">
                  <c:v>0.36673375714752959</c:v>
                </c:pt>
                <c:pt idx="135">
                  <c:v>0.36446343796511244</c:v>
                </c:pt>
                <c:pt idx="136">
                  <c:v>0.36222104666268257</c:v>
                </c:pt>
                <c:pt idx="137">
                  <c:v>0.36000607098602116</c:v>
                </c:pt>
                <c:pt idx="138">
                  <c:v>0.35781801113562478</c:v>
                </c:pt>
                <c:pt idx="139">
                  <c:v>0.35565637939065353</c:v>
                </c:pt>
                <c:pt idx="140">
                  <c:v>0.35352069974644007</c:v>
                </c:pt>
              </c:numCache>
            </c:numRef>
          </c:yVal>
          <c:smooth val="0"/>
        </c:ser>
        <c:ser>
          <c:idx val="3"/>
          <c:order val="2"/>
          <c:tx>
            <c:v>max duty</c:v>
          </c:tx>
          <c:spPr>
            <a:ln w="19050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Design!$X$26:$X$28</c:f>
              <c:numCache>
                <c:formatCode>General</c:formatCode>
                <c:ptCount val="3"/>
                <c:pt idx="0">
                  <c:v>5.5</c:v>
                </c:pt>
                <c:pt idx="1">
                  <c:v>18</c:v>
                </c:pt>
                <c:pt idx="2">
                  <c:v>36</c:v>
                </c:pt>
              </c:numCache>
            </c:numRef>
          </c:xVal>
          <c:yVal>
            <c:numRef>
              <c:f>Design!$Y$26:$Y$28</c:f>
              <c:numCache>
                <c:formatCode>0.00</c:formatCode>
                <c:ptCount val="3"/>
                <c:pt idx="0">
                  <c:v>0.95199999999999996</c:v>
                </c:pt>
                <c:pt idx="1">
                  <c:v>0.95199999999999996</c:v>
                </c:pt>
                <c:pt idx="2">
                  <c:v>0.97599999999999998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872160"/>
        <c:axId val="199872720"/>
      </c:scatterChart>
      <c:valAx>
        <c:axId val="199872160"/>
        <c:scaling>
          <c:orientation val="minMax"/>
          <c:min val="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Input Voltage - V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872720"/>
        <c:crosses val="autoZero"/>
        <c:crossBetween val="midCat"/>
        <c:majorUnit val="1"/>
        <c:minorUnit val="0.5"/>
      </c:valAx>
      <c:valAx>
        <c:axId val="19987272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Duty Cycle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872160"/>
        <c:crosses val="autoZero"/>
        <c:crossBetween val="midCat"/>
        <c:majorUnit val="5.000000000000001E-2"/>
        <c:minorUnit val="5.000000000000001E-2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Predicted Efficiency </a:t>
            </a:r>
            <a:r>
              <a:rPr lang="en-US" baseline="0"/>
              <a:t>vs. Iout at 25</a:t>
            </a:r>
            <a:r>
              <a:rPr lang="en-US" baseline="0">
                <a:latin typeface="Calibri"/>
                <a:cs typeface="Calibri"/>
              </a:rPr>
              <a:t>°</a:t>
            </a:r>
            <a:r>
              <a:rPr lang="en-US" baseline="0"/>
              <a:t>C</a:t>
            </a:r>
            <a:endParaRPr lang="en-US"/>
          </a:p>
        </c:rich>
      </c:tx>
      <c:layout>
        <c:manualLayout>
          <c:xMode val="edge"/>
          <c:yMode val="edge"/>
          <c:x val="0.29868828896388716"/>
          <c:y val="1.805598567961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48306357366707"/>
          <c:y val="9.5288366062676766E-2"/>
          <c:w val="0.84591275211319295"/>
          <c:h val="0.764520254245330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Efficiency!$C$2</c:f>
              <c:strCache>
                <c:ptCount val="1"/>
                <c:pt idx="0">
                  <c:v>6.0</c:v>
                </c:pt>
              </c:strCache>
            </c:strRef>
          </c:tx>
          <c:spPr>
            <a:ln w="381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Efficiency!$B$4:$B$13</c:f>
              <c:numCache>
                <c:formatCode>0.00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0.30000000000000004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>
                  <c:v>0.99999999999999989</c:v>
                </c:pt>
              </c:numCache>
            </c:numRef>
          </c:xVal>
          <c:yVal>
            <c:numRef>
              <c:f>Efficiency!$AD$4:$AD$13</c:f>
              <c:numCache>
                <c:formatCode>0.0</c:formatCode>
                <c:ptCount val="10"/>
                <c:pt idx="0">
                  <c:v>90.47085159586139</c:v>
                </c:pt>
                <c:pt idx="1">
                  <c:v>91.806718844003598</c:v>
                </c:pt>
                <c:pt idx="2">
                  <c:v>91.773496405061962</c:v>
                </c:pt>
                <c:pt idx="3">
                  <c:v>91.380299168624589</c:v>
                </c:pt>
                <c:pt idx="4">
                  <c:v>90.831484979320962</c:v>
                </c:pt>
                <c:pt idx="5">
                  <c:v>90.191469421913681</c:v>
                </c:pt>
                <c:pt idx="6">
                  <c:v>89.483200216397307</c:v>
                </c:pt>
                <c:pt idx="7">
                  <c:v>88.712852477822963</c:v>
                </c:pt>
                <c:pt idx="8">
                  <c:v>87.877676721919357</c:v>
                </c:pt>
                <c:pt idx="9">
                  <c:v>86.968499172293448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Efficiency!$AF$2</c:f>
              <c:strCache>
                <c:ptCount val="1"/>
                <c:pt idx="0">
                  <c:v>12.0</c:v>
                </c:pt>
              </c:strCache>
            </c:strRef>
          </c:tx>
          <c:spPr>
            <a:ln w="3810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Efficiency!$AE$4:$AE$13</c:f>
              <c:numCache>
                <c:formatCode>0.00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0.30000000000000004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>
                  <c:v>0.99999999999999989</c:v>
                </c:pt>
              </c:numCache>
            </c:numRef>
          </c:xVal>
          <c:yVal>
            <c:numRef>
              <c:f>Efficiency!$BG$4:$BG$13</c:f>
              <c:numCache>
                <c:formatCode>0.0</c:formatCode>
                <c:ptCount val="10"/>
                <c:pt idx="0">
                  <c:v>88.129667806190852</c:v>
                </c:pt>
                <c:pt idx="1">
                  <c:v>91.645159236129814</c:v>
                </c:pt>
                <c:pt idx="2">
                  <c:v>92.73035712657888</c:v>
                </c:pt>
                <c:pt idx="3">
                  <c:v>93.168735910391078</c:v>
                </c:pt>
                <c:pt idx="4">
                  <c:v>93.341620438089123</c:v>
                </c:pt>
                <c:pt idx="5">
                  <c:v>93.379607612952114</c:v>
                </c:pt>
                <c:pt idx="6">
                  <c:v>93.339408628238388</c:v>
                </c:pt>
                <c:pt idx="7">
                  <c:v>93.249512609636525</c:v>
                </c:pt>
                <c:pt idx="8">
                  <c:v>93.125703018142119</c:v>
                </c:pt>
                <c:pt idx="9">
                  <c:v>92.977344008138004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Efficiency!$BI$2</c:f>
              <c:strCache>
                <c:ptCount val="1"/>
                <c:pt idx="0">
                  <c:v>20.0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Efficiency!$BH$4:$BH$13</c:f>
              <c:numCache>
                <c:formatCode>0.00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0.30000000000000004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>
                  <c:v>0.99999999999999989</c:v>
                </c:pt>
              </c:numCache>
            </c:numRef>
          </c:xVal>
          <c:yVal>
            <c:numRef>
              <c:f>Efficiency!$CJ$4:$CJ$13</c:f>
              <c:numCache>
                <c:formatCode>0.0</c:formatCode>
                <c:ptCount val="10"/>
                <c:pt idx="0">
                  <c:v>86.092194139983235</c:v>
                </c:pt>
                <c:pt idx="1">
                  <c:v>90.656417198908485</c:v>
                </c:pt>
                <c:pt idx="2">
                  <c:v>92.05898146246335</c:v>
                </c:pt>
                <c:pt idx="3">
                  <c:v>92.698566562614815</c:v>
                </c:pt>
                <c:pt idx="4">
                  <c:v>93.02354574667838</c:v>
                </c:pt>
                <c:pt idx="5">
                  <c:v>93.188569281645698</c:v>
                </c:pt>
                <c:pt idx="6">
                  <c:v>93.261205263877287</c:v>
                </c:pt>
                <c:pt idx="7">
                  <c:v>93.275646405817568</c:v>
                </c:pt>
                <c:pt idx="8">
                  <c:v>93.251033052596483</c:v>
                </c:pt>
                <c:pt idx="9">
                  <c:v>93.198898675016068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877760"/>
        <c:axId val="199878320"/>
      </c:scatterChart>
      <c:valAx>
        <c:axId val="199877760"/>
        <c:scaling>
          <c:orientation val="minMax"/>
          <c:max val="1"/>
          <c:min val="0.2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Output Current (A)</a:t>
                </a:r>
              </a:p>
            </c:rich>
          </c:tx>
          <c:layout>
            <c:manualLayout>
              <c:xMode val="edge"/>
              <c:yMode val="edge"/>
              <c:x val="0.42932121716960769"/>
              <c:y val="0.9331984495315568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78320"/>
        <c:crosses val="autoZero"/>
        <c:crossBetween val="midCat"/>
        <c:majorUnit val="0.25"/>
        <c:minorUnit val="0.125"/>
      </c:valAx>
      <c:valAx>
        <c:axId val="199878320"/>
        <c:scaling>
          <c:orientation val="minMax"/>
          <c:max val="95"/>
          <c:min val="5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Predicted</a:t>
                </a:r>
                <a:r>
                  <a:rPr lang="en-US" baseline="0"/>
                  <a:t> Efficiency (%)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9673478315211074E-2"/>
              <c:y val="0.2792664096904208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77760"/>
        <c:crosses val="autoZero"/>
        <c:crossBetween val="midCat"/>
        <c:majorUnit val="5"/>
        <c:minorUnit val="2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7895530524858045"/>
          <c:y val="0.67450161752694726"/>
          <c:w val="7.8739066541958239E-2"/>
          <c:h val="0.1727069200835012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Predicted Efficiency </a:t>
            </a:r>
            <a:r>
              <a:rPr lang="en-US" baseline="0"/>
              <a:t>vs. Iout at High Ambient</a:t>
            </a:r>
            <a:endParaRPr lang="en-US"/>
          </a:p>
        </c:rich>
      </c:tx>
      <c:layout>
        <c:manualLayout>
          <c:xMode val="edge"/>
          <c:yMode val="edge"/>
          <c:x val="0.23718035245594304"/>
          <c:y val="1.805598567961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48306357366707"/>
          <c:y val="9.5288366062676766E-2"/>
          <c:w val="0.84591275211319328"/>
          <c:h val="0.764520254245330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Efficiency!$C$2</c:f>
              <c:strCache>
                <c:ptCount val="1"/>
                <c:pt idx="0">
                  <c:v>6.0</c:v>
                </c:pt>
              </c:strCache>
            </c:strRef>
          </c:tx>
          <c:spPr>
            <a:ln w="381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Efficiency!$B$16:$B$25</c:f>
              <c:numCache>
                <c:formatCode>0.00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0.30000000000000004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>
                  <c:v>0.99999999999999989</c:v>
                </c:pt>
              </c:numCache>
            </c:numRef>
          </c:xVal>
          <c:yVal>
            <c:numRef>
              <c:f>Efficiency!$AD$16:$AD$25</c:f>
              <c:numCache>
                <c:formatCode>0.0</c:formatCode>
                <c:ptCount val="10"/>
                <c:pt idx="0">
                  <c:v>90.622049445491385</c:v>
                </c:pt>
                <c:pt idx="1">
                  <c:v>91.785025134338639</c:v>
                </c:pt>
                <c:pt idx="2">
                  <c:v>91.53590351667647</c:v>
                </c:pt>
                <c:pt idx="3">
                  <c:v>90.914159964663156</c:v>
                </c:pt>
                <c:pt idx="4">
                  <c:v>90.128616935849195</c:v>
                </c:pt>
                <c:pt idx="5">
                  <c:v>89.243231306800851</c:v>
                </c:pt>
                <c:pt idx="6">
                  <c:v>88.278646150839606</c:v>
                </c:pt>
                <c:pt idx="7">
                  <c:v>87.237477171297968</c:v>
                </c:pt>
                <c:pt idx="8">
                  <c:v>86.112065253965412</c:v>
                </c:pt>
                <c:pt idx="9">
                  <c:v>84.886475150588268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Efficiency!$AF$2</c:f>
              <c:strCache>
                <c:ptCount val="1"/>
                <c:pt idx="0">
                  <c:v>12.0</c:v>
                </c:pt>
              </c:strCache>
            </c:strRef>
          </c:tx>
          <c:spPr>
            <a:ln w="3810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Efficiency!$AE$16:$AE$25</c:f>
              <c:numCache>
                <c:formatCode>0.00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0.30000000000000004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>
                  <c:v>0.99999999999999989</c:v>
                </c:pt>
              </c:numCache>
            </c:numRef>
          </c:xVal>
          <c:yVal>
            <c:numRef>
              <c:f>Efficiency!$BG$16:$BG$25</c:f>
              <c:numCache>
                <c:formatCode>0.0</c:formatCode>
                <c:ptCount val="10"/>
                <c:pt idx="0">
                  <c:v>88.460078373489921</c:v>
                </c:pt>
                <c:pt idx="1">
                  <c:v>91.967271570535175</c:v>
                </c:pt>
                <c:pt idx="2">
                  <c:v>93.019924342485282</c:v>
                </c:pt>
                <c:pt idx="3">
                  <c:v>93.419207472192781</c:v>
                </c:pt>
                <c:pt idx="4">
                  <c:v>93.550307119220236</c:v>
                </c:pt>
                <c:pt idx="5">
                  <c:v>93.545099780176542</c:v>
                </c:pt>
                <c:pt idx="6">
                  <c:v>93.460799328581999</c:v>
                </c:pt>
                <c:pt idx="7">
                  <c:v>93.326095110214737</c:v>
                </c:pt>
                <c:pt idx="8">
                  <c:v>93.156830738177732</c:v>
                </c:pt>
                <c:pt idx="9">
                  <c:v>92.962356042429676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Efficiency!$BI$2</c:f>
              <c:strCache>
                <c:ptCount val="1"/>
                <c:pt idx="0">
                  <c:v>20.0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Efficiency!$BH$16:$BH$25</c:f>
              <c:numCache>
                <c:formatCode>0.00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0.30000000000000004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>
                  <c:v>0.99999999999999989</c:v>
                </c:pt>
              </c:numCache>
            </c:numRef>
          </c:xVal>
          <c:yVal>
            <c:numRef>
              <c:f>Efficiency!$CJ$16:$CJ$25</c:f>
              <c:numCache>
                <c:formatCode>0.0</c:formatCode>
                <c:ptCount val="10"/>
                <c:pt idx="0">
                  <c:v>86.512308859962985</c:v>
                </c:pt>
                <c:pt idx="1">
                  <c:v>91.086583626024947</c:v>
                </c:pt>
                <c:pt idx="2">
                  <c:v>92.466773186352242</c:v>
                </c:pt>
                <c:pt idx="3">
                  <c:v>93.080967030178329</c:v>
                </c:pt>
                <c:pt idx="4">
                  <c:v>93.379419539604157</c:v>
                </c:pt>
                <c:pt idx="5">
                  <c:v>93.517405101111791</c:v>
                </c:pt>
                <c:pt idx="6">
                  <c:v>93.562746960483395</c:v>
                </c:pt>
                <c:pt idx="7">
                  <c:v>93.549752296703275</c:v>
                </c:pt>
                <c:pt idx="8">
                  <c:v>93.497612551426272</c:v>
                </c:pt>
                <c:pt idx="9">
                  <c:v>93.417880134048545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882240"/>
        <c:axId val="199882800"/>
      </c:scatterChart>
      <c:valAx>
        <c:axId val="199882240"/>
        <c:scaling>
          <c:orientation val="minMax"/>
          <c:max val="1"/>
          <c:min val="0.2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Output Current (A)</a:t>
                </a:r>
              </a:p>
            </c:rich>
          </c:tx>
          <c:layout>
            <c:manualLayout>
              <c:xMode val="edge"/>
              <c:yMode val="edge"/>
              <c:x val="0.42932121716960797"/>
              <c:y val="0.9331984495315568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82800"/>
        <c:crosses val="autoZero"/>
        <c:crossBetween val="midCat"/>
        <c:majorUnit val="0.25"/>
        <c:minorUnit val="0.125"/>
      </c:valAx>
      <c:valAx>
        <c:axId val="199882800"/>
        <c:scaling>
          <c:orientation val="minMax"/>
          <c:max val="95"/>
          <c:min val="5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Predicted</a:t>
                </a:r>
                <a:r>
                  <a:rPr lang="en-US" baseline="0"/>
                  <a:t> Efficiency (%)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9673478315211088E-2"/>
              <c:y val="0.2792664096904208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82240"/>
        <c:crosses val="autoZero"/>
        <c:crossBetween val="midCat"/>
        <c:majorUnit val="5"/>
        <c:minorUnit val="2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553813337503976"/>
          <c:y val="0.67450177497334274"/>
          <c:w val="0.10032893740754313"/>
          <c:h val="0.1727069603978330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Predicted TJ</a:t>
            </a:r>
            <a:r>
              <a:rPr lang="en-US" baseline="0"/>
              <a:t> vs. Iout at 25</a:t>
            </a:r>
            <a:r>
              <a:rPr lang="en-US" baseline="0">
                <a:latin typeface="Calibri"/>
                <a:cs typeface="Calibri"/>
              </a:rPr>
              <a:t>°</a:t>
            </a:r>
            <a:r>
              <a:rPr lang="en-US" baseline="0"/>
              <a:t>C</a:t>
            </a:r>
            <a:endParaRPr lang="en-US"/>
          </a:p>
        </c:rich>
      </c:tx>
      <c:layout>
        <c:manualLayout>
          <c:xMode val="edge"/>
          <c:yMode val="edge"/>
          <c:x val="0.34035495563054785"/>
          <c:y val="1.805598567961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48306357366707"/>
          <c:y val="9.5288366062676766E-2"/>
          <c:w val="0.84591275211319328"/>
          <c:h val="0.764520254245330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Efficiency!$C$2</c:f>
              <c:strCache>
                <c:ptCount val="1"/>
                <c:pt idx="0">
                  <c:v>6.0</c:v>
                </c:pt>
              </c:strCache>
            </c:strRef>
          </c:tx>
          <c:spPr>
            <a:ln w="381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Efficiency!$B$4:$B$13</c:f>
              <c:numCache>
                <c:formatCode>0.00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0.30000000000000004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>
                  <c:v>0.99999999999999989</c:v>
                </c:pt>
              </c:numCache>
            </c:numRef>
          </c:xVal>
          <c:yVal>
            <c:numRef>
              <c:f>Efficiency!$Y$4:$Y$13</c:f>
              <c:numCache>
                <c:formatCode>0.0</c:formatCode>
                <c:ptCount val="10"/>
                <c:pt idx="0">
                  <c:v>27.476288806031185</c:v>
                </c:pt>
                <c:pt idx="1">
                  <c:v>28.226721593465623</c:v>
                </c:pt>
                <c:pt idx="2">
                  <c:v>29.44861483374617</c:v>
                </c:pt>
                <c:pt idx="3">
                  <c:v>31.174833626900593</c:v>
                </c:pt>
                <c:pt idx="4">
                  <c:v>33.450000050075928</c:v>
                </c:pt>
                <c:pt idx="5">
                  <c:v>36.333398819753839</c:v>
                </c:pt>
                <c:pt idx="6">
                  <c:v>39.903141329143097</c:v>
                </c:pt>
                <c:pt idx="7">
                  <c:v>44.262220880383296</c:v>
                </c:pt>
                <c:pt idx="8">
                  <c:v>49.547511971554997</c:v>
                </c:pt>
                <c:pt idx="9">
                  <c:v>55.943536741334242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Efficiency!$AF$2</c:f>
              <c:strCache>
                <c:ptCount val="1"/>
                <c:pt idx="0">
                  <c:v>12.0</c:v>
                </c:pt>
              </c:strCache>
            </c:strRef>
          </c:tx>
          <c:spPr>
            <a:ln w="3810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Efficiency!$AE$4:$AE$13</c:f>
              <c:numCache>
                <c:formatCode>0.00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0.30000000000000004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>
                  <c:v>0.99999999999999989</c:v>
                </c:pt>
              </c:numCache>
            </c:numRef>
          </c:xVal>
          <c:yVal>
            <c:numRef>
              <c:f>Efficiency!$BB$4:$BB$13</c:f>
              <c:numCache>
                <c:formatCode>0.0</c:formatCode>
                <c:ptCount val="10"/>
                <c:pt idx="0">
                  <c:v>29.312047462354894</c:v>
                </c:pt>
                <c:pt idx="1">
                  <c:v>29.641965170976384</c:v>
                </c:pt>
                <c:pt idx="2">
                  <c:v>30.08411792546563</c:v>
                </c:pt>
                <c:pt idx="3">
                  <c:v>30.640863472736868</c:v>
                </c:pt>
                <c:pt idx="4">
                  <c:v>31.315085350619469</c:v>
                </c:pt>
                <c:pt idx="5">
                  <c:v>32.110229594950901</c:v>
                </c:pt>
                <c:pt idx="6">
                  <c:v>33.030348940580893</c:v>
                </c:pt>
                <c:pt idx="7">
                  <c:v>34.080155612468175</c:v>
                </c:pt>
                <c:pt idx="8">
                  <c:v>35.265084055911878</c:v>
                </c:pt>
                <c:pt idx="9">
                  <c:v>36.591365266704265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Efficiency!$BI$2</c:f>
              <c:strCache>
                <c:ptCount val="1"/>
                <c:pt idx="0">
                  <c:v>20.0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Efficiency!$BH$4:$BH$13</c:f>
              <c:numCache>
                <c:formatCode>0.00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0.30000000000000004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>
                  <c:v>0.99999999999999989</c:v>
                </c:pt>
              </c:numCache>
            </c:numRef>
          </c:xVal>
          <c:yVal>
            <c:numRef>
              <c:f>Efficiency!$CE$4:$CE$13</c:f>
              <c:numCache>
                <c:formatCode>0.0</c:formatCode>
                <c:ptCount val="10"/>
                <c:pt idx="0">
                  <c:v>30.295005054048989</c:v>
                </c:pt>
                <c:pt idx="1">
                  <c:v>30.744129237085168</c:v>
                </c:pt>
                <c:pt idx="2">
                  <c:v>31.21852812676574</c:v>
                </c:pt>
                <c:pt idx="3">
                  <c:v>31.747436109148946</c:v>
                </c:pt>
                <c:pt idx="4">
                  <c:v>32.331853658381348</c:v>
                </c:pt>
                <c:pt idx="5">
                  <c:v>32.972903505838644</c:v>
                </c:pt>
                <c:pt idx="6">
                  <c:v>33.671836670909535</c:v>
                </c:pt>
                <c:pt idx="7">
                  <c:v>34.430039276472371</c:v>
                </c:pt>
                <c:pt idx="8">
                  <c:v>35.24904022236327</c:v>
                </c:pt>
                <c:pt idx="9">
                  <c:v>36.130519801095595</c:v>
                </c:pt>
              </c:numCache>
            </c:numRef>
          </c:yVal>
          <c:smooth val="1"/>
        </c:ser>
        <c:ser>
          <c:idx val="3"/>
          <c:order val="3"/>
          <c:tx>
            <c:v>TSD_min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Efficiency!$Q$77:$Q$78</c:f>
              <c:numCache>
                <c:formatCode>General</c:formatCode>
                <c:ptCount val="2"/>
                <c:pt idx="0">
                  <c:v>0</c:v>
                </c:pt>
                <c:pt idx="1">
                  <c:v>3.5</c:v>
                </c:pt>
              </c:numCache>
            </c:numRef>
          </c:xVal>
          <c:yVal>
            <c:numRef>
              <c:f>Efficiency!$R$77:$R$78</c:f>
              <c:numCache>
                <c:formatCode>General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819488"/>
        <c:axId val="202820048"/>
      </c:scatterChart>
      <c:valAx>
        <c:axId val="202819488"/>
        <c:scaling>
          <c:orientation val="minMax"/>
          <c:max val="1"/>
          <c:min val="0.2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Output Current (A)</a:t>
                </a:r>
              </a:p>
            </c:rich>
          </c:tx>
          <c:layout>
            <c:manualLayout>
              <c:xMode val="edge"/>
              <c:yMode val="edge"/>
              <c:x val="0.42932121716960797"/>
              <c:y val="0.9331984495315568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820048"/>
        <c:crosses val="autoZero"/>
        <c:crossBetween val="midCat"/>
        <c:majorUnit val="0.25"/>
        <c:minorUnit val="0.125"/>
      </c:valAx>
      <c:valAx>
        <c:axId val="202820048"/>
        <c:scaling>
          <c:orientation val="minMax"/>
          <c:max val="165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Predicted</a:t>
                </a:r>
                <a:r>
                  <a:rPr lang="en-US" baseline="0"/>
                  <a:t> Junction Temp (C)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9.7528433945757546E-3"/>
              <c:y val="0.265319408295720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819488"/>
        <c:crosses val="autoZero"/>
        <c:crossBetween val="midCat"/>
        <c:majorUnit val="20"/>
        <c:min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3267997750281216"/>
          <c:y val="0.15375943069877984"/>
          <c:w val="0.16859142607174121"/>
          <c:h val="0.1594616677099464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Predicted TJ</a:t>
            </a:r>
            <a:r>
              <a:rPr lang="en-US" baseline="0"/>
              <a:t> vs. Iout at High Ambient</a:t>
            </a:r>
            <a:endParaRPr lang="en-US"/>
          </a:p>
        </c:rich>
      </c:tx>
      <c:layout>
        <c:manualLayout>
          <c:xMode val="edge"/>
          <c:yMode val="edge"/>
          <c:x val="0.28281527309086657"/>
          <c:y val="1.805598567961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48306357366707"/>
          <c:y val="9.5288366062676766E-2"/>
          <c:w val="0.84591275211319372"/>
          <c:h val="0.764520254245330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Efficiency!$C$2</c:f>
              <c:strCache>
                <c:ptCount val="1"/>
                <c:pt idx="0">
                  <c:v>6.0</c:v>
                </c:pt>
              </c:strCache>
            </c:strRef>
          </c:tx>
          <c:spPr>
            <a:ln w="381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Efficiency!$B$16:$B$25</c:f>
              <c:numCache>
                <c:formatCode>0.00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0.30000000000000004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>
                  <c:v>0.99999999999999989</c:v>
                </c:pt>
              </c:numCache>
            </c:numRef>
          </c:xVal>
          <c:yVal>
            <c:numRef>
              <c:f>Efficiency!$Y$16:$Y$25</c:f>
              <c:numCache>
                <c:formatCode>0.0</c:formatCode>
                <c:ptCount val="10"/>
                <c:pt idx="0">
                  <c:v>87.611289248773616</c:v>
                </c:pt>
                <c:pt idx="1">
                  <c:v>88.617781643295558</c:v>
                </c:pt>
                <c:pt idx="2">
                  <c:v>90.280678244717592</c:v>
                </c:pt>
                <c:pt idx="3">
                  <c:v>92.649851819337158</c:v>
                </c:pt>
                <c:pt idx="4">
                  <c:v>95.792682309019568</c:v>
                </c:pt>
                <c:pt idx="5">
                  <c:v>99.798865121430154</c:v>
                </c:pt>
                <c:pt idx="6">
                  <c:v>104.78739779787927</c:v>
                </c:pt>
                <c:pt idx="7">
                  <c:v>110.9169556099348</c:v>
                </c:pt>
                <c:pt idx="8">
                  <c:v>118.40175074431235</c:v>
                </c:pt>
                <c:pt idx="9">
                  <c:v>127.53668204192979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Efficiency!$AF$2</c:f>
              <c:strCache>
                <c:ptCount val="1"/>
                <c:pt idx="0">
                  <c:v>12.0</c:v>
                </c:pt>
              </c:strCache>
            </c:strRef>
          </c:tx>
          <c:spPr>
            <a:ln w="3810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Efficiency!$AE$16:$AE$25</c:f>
              <c:numCache>
                <c:formatCode>0.00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0.30000000000000004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>
                  <c:v>0.99999999999999989</c:v>
                </c:pt>
              </c:numCache>
            </c:numRef>
          </c:xVal>
          <c:yVal>
            <c:numRef>
              <c:f>Efficiency!$BB$16:$BB$25</c:f>
              <c:numCache>
                <c:formatCode>0.0</c:formatCode>
                <c:ptCount val="10"/>
                <c:pt idx="0">
                  <c:v>89.338678508377399</c:v>
                </c:pt>
                <c:pt idx="1">
                  <c:v>89.730306949330952</c:v>
                </c:pt>
                <c:pt idx="2">
                  <c:v>90.276217949465945</c:v>
                </c:pt>
                <c:pt idx="3">
                  <c:v>90.97973794864437</c:v>
                </c:pt>
                <c:pt idx="4">
                  <c:v>91.844922219225964</c:v>
                </c:pt>
                <c:pt idx="5">
                  <c:v>92.876609523559395</c:v>
                </c:pt>
                <c:pt idx="6">
                  <c:v>94.080487638241863</c:v>
                </c:pt>
                <c:pt idx="7">
                  <c:v>95.463171456499168</c:v>
                </c:pt>
                <c:pt idx="8">
                  <c:v>97.032295776508704</c:v>
                </c:pt>
                <c:pt idx="9">
                  <c:v>98.79662537803317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Efficiency!$BI$2</c:f>
              <c:strCache>
                <c:ptCount val="1"/>
                <c:pt idx="0">
                  <c:v>20.0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Efficiency!$BH$16:$BH$25</c:f>
              <c:numCache>
                <c:formatCode>0.00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0.30000000000000004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>
                  <c:v>0.99999999999999989</c:v>
                </c:pt>
              </c:numCache>
            </c:numRef>
          </c:xVal>
          <c:yVal>
            <c:numRef>
              <c:f>Efficiency!$CE$16:$CE$25</c:f>
              <c:numCache>
                <c:formatCode>0.0</c:formatCode>
                <c:ptCount val="10"/>
                <c:pt idx="0">
                  <c:v>90.319908688378149</c:v>
                </c:pt>
                <c:pt idx="1">
                  <c:v>90.750924944468721</c:v>
                </c:pt>
                <c:pt idx="2">
                  <c:v>91.274137481274423</c:v>
                </c:pt>
                <c:pt idx="3">
                  <c:v>91.871792097977021</c:v>
                </c:pt>
                <c:pt idx="4">
                  <c:v>92.545175251974598</c:v>
                </c:pt>
                <c:pt idx="5">
                  <c:v>93.295739222918371</c:v>
                </c:pt>
                <c:pt idx="6">
                  <c:v>94.125110373296906</c:v>
                </c:pt>
                <c:pt idx="7">
                  <c:v>95.035098487949881</c:v>
                </c:pt>
                <c:pt idx="8">
                  <c:v>96.02770729700454</c:v>
                </c:pt>
                <c:pt idx="9">
                  <c:v>97.105146302368496</c:v>
                </c:pt>
              </c:numCache>
            </c:numRef>
          </c:yVal>
          <c:smooth val="1"/>
        </c:ser>
        <c:ser>
          <c:idx val="3"/>
          <c:order val="3"/>
          <c:tx>
            <c:v>TSD_min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Efficiency!$Q$77:$Q$78</c:f>
              <c:numCache>
                <c:formatCode>General</c:formatCode>
                <c:ptCount val="2"/>
                <c:pt idx="0">
                  <c:v>0</c:v>
                </c:pt>
                <c:pt idx="1">
                  <c:v>3.5</c:v>
                </c:pt>
              </c:numCache>
            </c:numRef>
          </c:xVal>
          <c:yVal>
            <c:numRef>
              <c:f>Efficiency!$R$77:$R$78</c:f>
              <c:numCache>
                <c:formatCode>General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942848"/>
        <c:axId val="202943408"/>
      </c:scatterChart>
      <c:valAx>
        <c:axId val="202942848"/>
        <c:scaling>
          <c:orientation val="minMax"/>
          <c:max val="1"/>
          <c:min val="0.2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Output Current (A)</a:t>
                </a:r>
              </a:p>
            </c:rich>
          </c:tx>
          <c:layout>
            <c:manualLayout>
              <c:xMode val="edge"/>
              <c:yMode val="edge"/>
              <c:x val="0.42932121716960819"/>
              <c:y val="0.9331984495315568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943408"/>
        <c:crosses val="autoZero"/>
        <c:crossBetween val="midCat"/>
        <c:majorUnit val="0.25"/>
        <c:minorUnit val="0.125"/>
      </c:valAx>
      <c:valAx>
        <c:axId val="202943408"/>
        <c:scaling>
          <c:orientation val="minMax"/>
          <c:max val="165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Predicted</a:t>
                </a:r>
                <a:r>
                  <a:rPr lang="en-US" baseline="0"/>
                  <a:t> Junction Temp (C)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9.7528433945757546E-3"/>
              <c:y val="0.265319408295720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942848"/>
        <c:crosses val="autoZero"/>
        <c:crossBetween val="midCat"/>
        <c:majorUnit val="20"/>
        <c:min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3863235845519509"/>
          <c:y val="0.15375943069877984"/>
          <c:w val="0.14875015623047141"/>
          <c:h val="0.1594616677099464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DC Bias</a:t>
            </a:r>
            <a:r>
              <a:rPr lang="en-US" sz="1600" baseline="0"/>
              <a:t> Effect on 10uF/16V/X7R/1206</a:t>
            </a:r>
            <a:endParaRPr lang="en-US" sz="1600"/>
          </a:p>
        </c:rich>
      </c:tx>
      <c:layout>
        <c:manualLayout>
          <c:xMode val="edge"/>
          <c:yMode val="edge"/>
          <c:x val="0.14362228054826701"/>
          <c:y val="2.17983651226158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11863517060374"/>
          <c:y val="0.12319251646677817"/>
          <c:w val="0.82715987168271365"/>
          <c:h val="0.72752930406860061"/>
        </c:manualLayout>
      </c:layout>
      <c:scatterChart>
        <c:scatterStyle val="lineMarker"/>
        <c:varyColors val="0"/>
        <c:ser>
          <c:idx val="0"/>
          <c:order val="0"/>
          <c:tx>
            <c:v> Measured</c:v>
          </c:tx>
          <c:trendline>
            <c:name> Curve Fit</c:name>
            <c:spPr>
              <a:ln w="19050">
                <a:solidFill>
                  <a:srgbClr val="FF0000"/>
                </a:solidFill>
                <a:prstDash val="dash"/>
              </a:ln>
            </c:spPr>
            <c:trendlineType val="poly"/>
            <c:order val="3"/>
            <c:dispRSqr val="0"/>
            <c:dispEq val="1"/>
            <c:trendlineLbl>
              <c:layout>
                <c:manualLayout>
                  <c:x val="-0.16527850685331"/>
                  <c:y val="4.7561343660380277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rgbClr val="FF0000"/>
                        </a:solidFill>
                      </a:defRPr>
                    </a:pPr>
                    <a:r>
                      <a:rPr lang="en-US" sz="1200" baseline="0"/>
                      <a:t>y = 0.0034x</a:t>
                    </a:r>
                    <a:r>
                      <a:rPr lang="en-US" sz="1200" baseline="30000"/>
                      <a:t>3</a:t>
                    </a:r>
                    <a:r>
                      <a:rPr lang="en-US" sz="1200" baseline="0"/>
                      <a:t> - 0.0743x</a:t>
                    </a:r>
                    <a:r>
                      <a:rPr lang="en-US" sz="1200" baseline="30000"/>
                      <a:t>2</a:t>
                    </a:r>
                    <a:r>
                      <a:rPr lang="en-US" sz="1200" baseline="0"/>
                      <a:t> + 0.0683x + 9.947</a:t>
                    </a:r>
                    <a:endParaRPr lang="en-US" sz="1200"/>
                  </a:p>
                </c:rich>
              </c:tx>
              <c:numFmt formatCode="General" sourceLinked="0"/>
              <c:spPr>
                <a:solidFill>
                  <a:sysClr val="window" lastClr="FFFFFF"/>
                </a:solidFill>
              </c:spPr>
            </c:trendlineLbl>
          </c:trendline>
          <c:xVal>
            <c:numRef>
              <c:f>Constants!$B$44:$B$48</c:f>
              <c:numCache>
                <c:formatCode>0.0</c:formatCode>
                <c:ptCount val="5"/>
                <c:pt idx="0">
                  <c:v>0.8</c:v>
                </c:pt>
                <c:pt idx="1">
                  <c:v>2</c:v>
                </c:pt>
                <c:pt idx="2">
                  <c:v>3.3</c:v>
                </c:pt>
                <c:pt idx="3">
                  <c:v>5</c:v>
                </c:pt>
                <c:pt idx="4">
                  <c:v>8</c:v>
                </c:pt>
              </c:numCache>
            </c:numRef>
          </c:xVal>
          <c:yVal>
            <c:numRef>
              <c:f>Constants!$C$44:$C$48</c:f>
              <c:numCache>
                <c:formatCode>0.00</c:formatCode>
                <c:ptCount val="5"/>
                <c:pt idx="0">
                  <c:v>9.9600000000000009</c:v>
                </c:pt>
                <c:pt idx="1">
                  <c:v>9.8000000000000007</c:v>
                </c:pt>
                <c:pt idx="2">
                  <c:v>9.5</c:v>
                </c:pt>
                <c:pt idx="3">
                  <c:v>8.85</c:v>
                </c:pt>
                <c:pt idx="4">
                  <c:v>7.48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946208"/>
        <c:axId val="202946768"/>
      </c:scatterChart>
      <c:valAx>
        <c:axId val="202946208"/>
        <c:scaling>
          <c:orientation val="minMax"/>
          <c:max val="8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/>
                  <a:t>DC Bias (V)</a:t>
                </a:r>
              </a:p>
            </c:rich>
          </c:tx>
          <c:layout>
            <c:manualLayout>
              <c:xMode val="edge"/>
              <c:yMode val="edge"/>
              <c:x val="0.44261184018664335"/>
              <c:y val="0.9174525663856045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2946768"/>
        <c:crosses val="autoZero"/>
        <c:crossBetween val="midCat"/>
        <c:majorUnit val="1"/>
        <c:minorUnit val="1"/>
      </c:valAx>
      <c:valAx>
        <c:axId val="202946768"/>
        <c:scaling>
          <c:orientation val="minMax"/>
          <c:max val="10.5"/>
          <c:min val="7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100"/>
                  <a:t>Capacitance</a:t>
                </a:r>
              </a:p>
            </c:rich>
          </c:tx>
          <c:layout>
            <c:manualLayout>
              <c:xMode val="edge"/>
              <c:yMode val="edge"/>
              <c:x val="1.1942840478273547E-2"/>
              <c:y val="0.36412996059416786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029462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9405144356956439"/>
          <c:y val="0.14972044025831921"/>
          <c:w val="0.2491294117647059"/>
          <c:h val="0.12401320662871176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84</xdr:row>
      <xdr:rowOff>22860</xdr:rowOff>
    </xdr:from>
    <xdr:to>
      <xdr:col>7</xdr:col>
      <xdr:colOff>129540</xdr:colOff>
      <xdr:row>96</xdr:row>
      <xdr:rowOff>99060</xdr:rowOff>
    </xdr:to>
    <xdr:sp macro="" textlink="">
      <xdr:nvSpPr>
        <xdr:cNvPr id="1027" name="Object 3" hidden="1">
          <a:extLst>
            <a:ext uri="{63B3BB69-23CF-44E3-9099-C40C66FF867C}">
              <a14:compatExt xmlns:a14="http://schemas.microsoft.com/office/drawing/2010/main" spid="_x0000_s102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577215</xdr:colOff>
      <xdr:row>13</xdr:row>
      <xdr:rowOff>91440</xdr:rowOff>
    </xdr:from>
    <xdr:to>
      <xdr:col>14</xdr:col>
      <xdr:colOff>577215</xdr:colOff>
      <xdr:row>23</xdr:row>
      <xdr:rowOff>152400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8240" y="3663315"/>
          <a:ext cx="3086100" cy="234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</xdr:colOff>
      <xdr:row>99</xdr:row>
      <xdr:rowOff>167640</xdr:rowOff>
    </xdr:from>
    <xdr:to>
      <xdr:col>6</xdr:col>
      <xdr:colOff>7620</xdr:colOff>
      <xdr:row>114</xdr:row>
      <xdr:rowOff>83820</xdr:rowOff>
    </xdr:to>
    <xdr:sp macro="" textlink="">
      <xdr:nvSpPr>
        <xdr:cNvPr id="1028" name="Object 4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112395</xdr:colOff>
      <xdr:row>82</xdr:row>
      <xdr:rowOff>64770</xdr:rowOff>
    </xdr:from>
    <xdr:to>
      <xdr:col>8</xdr:col>
      <xdr:colOff>866775</xdr:colOff>
      <xdr:row>107</xdr:row>
      <xdr:rowOff>68754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" y="20229195"/>
          <a:ext cx="7993380" cy="47664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91440</xdr:colOff>
      <xdr:row>49</xdr:row>
      <xdr:rowOff>28575</xdr:rowOff>
    </xdr:from>
    <xdr:to>
      <xdr:col>18</xdr:col>
      <xdr:colOff>47625</xdr:colOff>
      <xdr:row>65</xdr:row>
      <xdr:rowOff>156210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123825</xdr:colOff>
      <xdr:row>25</xdr:row>
      <xdr:rowOff>390525</xdr:rowOff>
    </xdr:from>
    <xdr:to>
      <xdr:col>18</xdr:col>
      <xdr:colOff>76200</xdr:colOff>
      <xdr:row>41</xdr:row>
      <xdr:rowOff>272415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123825</xdr:colOff>
      <xdr:row>41</xdr:row>
      <xdr:rowOff>266701</xdr:rowOff>
    </xdr:from>
    <xdr:to>
      <xdr:col>18</xdr:col>
      <xdr:colOff>76200</xdr:colOff>
      <xdr:row>48</xdr:row>
      <xdr:rowOff>76201</xdr:rowOff>
    </xdr:to>
    <xdr:sp macro="" textlink="">
      <xdr:nvSpPr>
        <xdr:cNvPr id="2" name="TextBox 1"/>
        <xdr:cNvSpPr txBox="1"/>
      </xdr:nvSpPr>
      <xdr:spPr>
        <a:xfrm>
          <a:off x="8324850" y="10515601"/>
          <a:ext cx="5476875" cy="1866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If Dbuck approaches the maximum value, it is suggested to:</a:t>
          </a:r>
        </a:p>
        <a:p>
          <a:endParaRPr lang="en-US" sz="1100"/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Increase minimum Vin or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Reduce DBuck0 by increasing RNG value or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Reduce the rated full load current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example, 12Vo/1A at 400kHz, if min Vin is set at 5V, the calculated Dbuck is 0.94; if min Vin is changed to 5.5V, the calculated Dbuck is 0.91; or set Dbuck0 lower at 0.75 by increasing R</a:t>
          </a:r>
          <a:r>
            <a:rPr lang="en-US" sz="11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NG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29.4k from 28k which corresponds to Dbuck0=0.8 then at min Vin=5V, the calculated Dbuck is now 0.90 instead of 0.94 or reduce rated full load current to 0.8A from 1A, at min Vin=5V the calculated Dbuck is 0.90 instead of 0.94  </a:t>
          </a:r>
        </a:p>
        <a:p>
          <a:endParaRPr lang="en-US" sz="1100"/>
        </a:p>
      </xdr:txBody>
    </xdr:sp>
    <xdr:clientData/>
  </xdr:twoCellAnchor>
  <xdr:twoCellAnchor>
    <xdr:from>
      <xdr:col>9</xdr:col>
      <xdr:colOff>95250</xdr:colOff>
      <xdr:row>65</xdr:row>
      <xdr:rowOff>142875</xdr:rowOff>
    </xdr:from>
    <xdr:to>
      <xdr:col>18</xdr:col>
      <xdr:colOff>47626</xdr:colOff>
      <xdr:row>70</xdr:row>
      <xdr:rowOff>123825</xdr:rowOff>
    </xdr:to>
    <xdr:sp macro="" textlink="">
      <xdr:nvSpPr>
        <xdr:cNvPr id="9" name="TextBox 8"/>
        <xdr:cNvSpPr txBox="1"/>
      </xdr:nvSpPr>
      <xdr:spPr>
        <a:xfrm>
          <a:off x="8296275" y="16335375"/>
          <a:ext cx="5476876" cy="112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peak inductor current at low Vin approaches the set current limit, it is suggested to: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Increase minimum Vin or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Increase DBuck0 and reduce Dboost by reducing RNG value or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Reduce the rated full load current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Increase inductance value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17</xdr:row>
      <xdr:rowOff>171450</xdr:rowOff>
    </xdr:from>
    <xdr:to>
      <xdr:col>5</xdr:col>
      <xdr:colOff>473075</xdr:colOff>
      <xdr:row>31</xdr:row>
      <xdr:rowOff>95250</xdr:rowOff>
    </xdr:to>
    <xdr:pic>
      <xdr:nvPicPr>
        <xdr:cNvPr id="1025" name="Picture 0" descr="A8600SAA19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90725" y="3857625"/>
          <a:ext cx="3454400" cy="2590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123825</xdr:colOff>
      <xdr:row>1</xdr:row>
      <xdr:rowOff>179731</xdr:rowOff>
    </xdr:from>
    <xdr:to>
      <xdr:col>15</xdr:col>
      <xdr:colOff>419099</xdr:colOff>
      <xdr:row>14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1425" b="10130"/>
        <a:stretch>
          <a:fillRect/>
        </a:stretch>
      </xdr:blipFill>
      <xdr:spPr bwMode="auto">
        <a:xfrm>
          <a:off x="7972425" y="179731"/>
          <a:ext cx="3952874" cy="3211169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22</xdr:row>
          <xdr:rowOff>0</xdr:rowOff>
        </xdr:from>
        <xdr:to>
          <xdr:col>8</xdr:col>
          <xdr:colOff>514350</xdr:colOff>
          <xdr:row>27</xdr:row>
          <xdr:rowOff>9525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25</xdr:row>
      <xdr:rowOff>76200</xdr:rowOff>
    </xdr:from>
    <xdr:to>
      <xdr:col>24</xdr:col>
      <xdr:colOff>219075</xdr:colOff>
      <xdr:row>49</xdr:row>
      <xdr:rowOff>57150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49</xdr:row>
      <xdr:rowOff>133350</xdr:rowOff>
    </xdr:from>
    <xdr:to>
      <xdr:col>24</xdr:col>
      <xdr:colOff>219075</xdr:colOff>
      <xdr:row>73</xdr:row>
      <xdr:rowOff>114300</xdr:rowOff>
    </xdr:to>
    <xdr:graphicFrame macro="">
      <xdr:nvGraphicFramePr>
        <xdr:cNvPr id="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285750</xdr:colOff>
      <xdr:row>25</xdr:row>
      <xdr:rowOff>80963</xdr:rowOff>
    </xdr:from>
    <xdr:to>
      <xdr:col>43</xdr:col>
      <xdr:colOff>419100</xdr:colOff>
      <xdr:row>49</xdr:row>
      <xdr:rowOff>61913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285750</xdr:colOff>
      <xdr:row>49</xdr:row>
      <xdr:rowOff>142875</xdr:rowOff>
    </xdr:from>
    <xdr:to>
      <xdr:col>43</xdr:col>
      <xdr:colOff>419100</xdr:colOff>
      <xdr:row>73</xdr:row>
      <xdr:rowOff>123825</xdr:rowOff>
    </xdr:to>
    <xdr:graphicFrame macro="">
      <xdr:nvGraphicFramePr>
        <xdr:cNvPr id="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</xdr:colOff>
      <xdr:row>6</xdr:row>
      <xdr:rowOff>85726</xdr:rowOff>
    </xdr:from>
    <xdr:to>
      <xdr:col>14</xdr:col>
      <xdr:colOff>247650</xdr:colOff>
      <xdr:row>15</xdr:row>
      <xdr:rowOff>216599</xdr:rowOff>
    </xdr:to>
    <xdr:pic>
      <xdr:nvPicPr>
        <xdr:cNvPr id="17" name="Picture 16" descr="8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91350" y="1533526"/>
          <a:ext cx="3200400" cy="2188273"/>
        </a:xfrm>
        <a:prstGeom prst="rect">
          <a:avLst/>
        </a:prstGeom>
      </xdr:spPr>
    </xdr:pic>
    <xdr:clientData/>
  </xdr:twoCellAnchor>
  <xdr:twoCellAnchor editAs="oneCell">
    <xdr:from>
      <xdr:col>14</xdr:col>
      <xdr:colOff>323850</xdr:colOff>
      <xdr:row>6</xdr:row>
      <xdr:rowOff>85726</xdr:rowOff>
    </xdr:from>
    <xdr:to>
      <xdr:col>19</xdr:col>
      <xdr:colOff>476250</xdr:colOff>
      <xdr:row>15</xdr:row>
      <xdr:rowOff>216599</xdr:rowOff>
    </xdr:to>
    <xdr:pic>
      <xdr:nvPicPr>
        <xdr:cNvPr id="18" name="Picture 17" descr="82_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267950" y="1533526"/>
          <a:ext cx="3200400" cy="2188273"/>
        </a:xfrm>
        <a:prstGeom prst="rect">
          <a:avLst/>
        </a:prstGeom>
      </xdr:spPr>
    </xdr:pic>
    <xdr:clientData/>
  </xdr:twoCellAnchor>
  <xdr:twoCellAnchor>
    <xdr:from>
      <xdr:col>7</xdr:col>
      <xdr:colOff>114299</xdr:colOff>
      <xdr:row>32</xdr:row>
      <xdr:rowOff>0</xdr:rowOff>
    </xdr:from>
    <xdr:to>
      <xdr:col>14</xdr:col>
      <xdr:colOff>161924</xdr:colOff>
      <xdr:row>49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381001</xdr:colOff>
      <xdr:row>15</xdr:row>
      <xdr:rowOff>133350</xdr:rowOff>
    </xdr:from>
    <xdr:to>
      <xdr:col>14</xdr:col>
      <xdr:colOff>9525</xdr:colOff>
      <xdr:row>16</xdr:row>
      <xdr:rowOff>209550</xdr:rowOff>
    </xdr:to>
    <xdr:sp macro="" textlink="">
      <xdr:nvSpPr>
        <xdr:cNvPr id="13" name="TextBox 12"/>
        <xdr:cNvSpPr txBox="1"/>
      </xdr:nvSpPr>
      <xdr:spPr>
        <a:xfrm>
          <a:off x="7277101" y="3867150"/>
          <a:ext cx="2676524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200" b="1"/>
            <a:t>Measured 1.1A</a:t>
          </a:r>
          <a:r>
            <a:rPr lang="en-US" sz="1200" b="1" baseline="0"/>
            <a:t> Transient with 1x 10uF</a:t>
          </a:r>
          <a:endParaRPr lang="en-US" sz="1200" b="1"/>
        </a:p>
      </xdr:txBody>
    </xdr:sp>
    <xdr:clientData/>
  </xdr:twoCellAnchor>
  <xdr:twoCellAnchor>
    <xdr:from>
      <xdr:col>14</xdr:col>
      <xdr:colOff>552451</xdr:colOff>
      <xdr:row>15</xdr:row>
      <xdr:rowOff>123826</xdr:rowOff>
    </xdr:from>
    <xdr:to>
      <xdr:col>19</xdr:col>
      <xdr:colOff>219075</xdr:colOff>
      <xdr:row>16</xdr:row>
      <xdr:rowOff>200026</xdr:rowOff>
    </xdr:to>
    <xdr:sp macro="" textlink="">
      <xdr:nvSpPr>
        <xdr:cNvPr id="14" name="TextBox 13"/>
        <xdr:cNvSpPr txBox="1"/>
      </xdr:nvSpPr>
      <xdr:spPr>
        <a:xfrm>
          <a:off x="10496551" y="3857626"/>
          <a:ext cx="2714624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200" b="1"/>
            <a:t>Measured 1.1A</a:t>
          </a:r>
          <a:r>
            <a:rPr lang="en-US" sz="1200" b="1" baseline="0"/>
            <a:t> Transient with 1x 10uF</a:t>
          </a:r>
          <a:endParaRPr lang="en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Visio_2003-2010_Drawing1.vsd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FF103"/>
  <sheetViews>
    <sheetView tabSelected="1" topLeftCell="A70" workbookViewId="0">
      <selection activeCell="C8" sqref="C8"/>
    </sheetView>
  </sheetViews>
  <sheetFormatPr defaultRowHeight="15" x14ac:dyDescent="0.25"/>
  <cols>
    <col min="1" max="1" width="20.7109375" style="430" customWidth="1"/>
    <col min="2" max="4" width="12.7109375" style="304" customWidth="1"/>
    <col min="5" max="5" width="15.7109375" style="308" customWidth="1"/>
    <col min="6" max="6" width="15.7109375" style="304" customWidth="1"/>
    <col min="7" max="8" width="9.140625" style="304"/>
    <col min="9" max="9" width="14.42578125" style="304" customWidth="1"/>
    <col min="10" max="10" width="9.140625" style="304" customWidth="1"/>
    <col min="11" max="11" width="9.140625" style="304"/>
    <col min="12" max="12" width="9.7109375" style="304" bestFit="1" customWidth="1"/>
    <col min="13" max="15" width="9.140625" style="304"/>
    <col min="16" max="16" width="9.140625" style="309"/>
    <col min="17" max="19" width="9.140625" style="435"/>
    <col min="20" max="20" width="15.5703125" style="446" bestFit="1" customWidth="1"/>
    <col min="21" max="162" width="9.140625" style="446"/>
    <col min="163" max="16384" width="9.140625" style="305"/>
  </cols>
  <sheetData>
    <row r="1" spans="1:162" ht="24" customHeight="1" thickBot="1" x14ac:dyDescent="0.3">
      <c r="A1" s="373" t="s">
        <v>341</v>
      </c>
      <c r="B1" s="374"/>
      <c r="C1" s="374"/>
      <c r="D1" s="374"/>
      <c r="E1" s="374"/>
      <c r="F1" s="374"/>
      <c r="G1" s="374"/>
      <c r="H1" s="374"/>
      <c r="I1" s="375"/>
    </row>
    <row r="2" spans="1:162" ht="24" customHeight="1" thickBot="1" x14ac:dyDescent="0.3">
      <c r="A2" s="394" t="s">
        <v>139</v>
      </c>
      <c r="B2" s="395"/>
      <c r="C2" s="395"/>
      <c r="D2" s="395"/>
      <c r="E2" s="395"/>
      <c r="F2" s="395"/>
      <c r="G2" s="395"/>
      <c r="H2" s="395"/>
      <c r="I2" s="396"/>
    </row>
    <row r="3" spans="1:162" s="424" customFormat="1" ht="18" customHeight="1" thickBot="1" x14ac:dyDescent="0.35">
      <c r="A3" s="77" t="s">
        <v>117</v>
      </c>
      <c r="B3" s="33" t="s">
        <v>30</v>
      </c>
      <c r="C3" s="33" t="s">
        <v>31</v>
      </c>
      <c r="D3" s="33" t="s">
        <v>32</v>
      </c>
      <c r="E3" s="34" t="s">
        <v>33</v>
      </c>
      <c r="F3" s="349" t="s">
        <v>35</v>
      </c>
      <c r="G3" s="350"/>
      <c r="H3" s="350"/>
      <c r="I3" s="351"/>
      <c r="J3" s="423"/>
      <c r="K3" s="423"/>
      <c r="L3" s="423"/>
      <c r="M3" s="423"/>
      <c r="N3" s="423"/>
      <c r="O3" s="423"/>
      <c r="P3" s="436"/>
      <c r="Q3" s="437"/>
      <c r="R3" s="437"/>
      <c r="S3" s="437"/>
      <c r="T3" s="447"/>
      <c r="U3" s="447"/>
      <c r="V3" s="447"/>
      <c r="W3" s="447"/>
      <c r="X3" s="447"/>
      <c r="Y3" s="447"/>
      <c r="Z3" s="447"/>
      <c r="AA3" s="447"/>
      <c r="AB3" s="447"/>
      <c r="AC3" s="447"/>
      <c r="AD3" s="447"/>
      <c r="AE3" s="447"/>
      <c r="AF3" s="447"/>
      <c r="AG3" s="447"/>
      <c r="AH3" s="447"/>
      <c r="AI3" s="447"/>
      <c r="AJ3" s="447"/>
      <c r="AK3" s="447"/>
      <c r="AL3" s="447"/>
      <c r="AM3" s="447"/>
      <c r="AN3" s="447"/>
      <c r="AO3" s="447"/>
      <c r="AP3" s="447"/>
      <c r="AQ3" s="447"/>
      <c r="AR3" s="447"/>
      <c r="AS3" s="447"/>
      <c r="AT3" s="447"/>
      <c r="AU3" s="447"/>
      <c r="AV3" s="447"/>
      <c r="AW3" s="447"/>
      <c r="AX3" s="447"/>
      <c r="AY3" s="447"/>
      <c r="AZ3" s="447"/>
      <c r="BA3" s="447"/>
      <c r="BB3" s="447"/>
      <c r="BC3" s="447"/>
      <c r="BD3" s="447"/>
      <c r="BE3" s="447"/>
      <c r="BF3" s="447"/>
      <c r="BG3" s="447"/>
      <c r="BH3" s="447"/>
      <c r="BI3" s="447"/>
      <c r="BJ3" s="447"/>
      <c r="BK3" s="447"/>
      <c r="BL3" s="447"/>
      <c r="BM3" s="447"/>
      <c r="BN3" s="447"/>
      <c r="BO3" s="447"/>
      <c r="BP3" s="447"/>
      <c r="BQ3" s="447"/>
      <c r="BR3" s="447"/>
      <c r="BS3" s="447"/>
      <c r="BT3" s="447"/>
      <c r="BU3" s="447"/>
      <c r="BV3" s="447"/>
      <c r="BW3" s="447"/>
      <c r="BX3" s="447"/>
      <c r="BY3" s="447"/>
      <c r="BZ3" s="447"/>
      <c r="CA3" s="447"/>
      <c r="CB3" s="447"/>
      <c r="CC3" s="447"/>
      <c r="CD3" s="447"/>
      <c r="CE3" s="447"/>
      <c r="CF3" s="447"/>
      <c r="CG3" s="447"/>
      <c r="CH3" s="447"/>
      <c r="CI3" s="447"/>
      <c r="CJ3" s="447"/>
      <c r="CK3" s="447"/>
      <c r="CL3" s="447"/>
      <c r="CM3" s="447"/>
      <c r="CN3" s="447"/>
      <c r="CO3" s="447"/>
      <c r="CP3" s="447"/>
      <c r="CQ3" s="447"/>
      <c r="CR3" s="447"/>
      <c r="CS3" s="447"/>
      <c r="CT3" s="447"/>
      <c r="CU3" s="447"/>
      <c r="CV3" s="447"/>
      <c r="CW3" s="447"/>
      <c r="CX3" s="447"/>
      <c r="CY3" s="447"/>
      <c r="CZ3" s="447"/>
      <c r="DA3" s="447"/>
      <c r="DB3" s="447"/>
      <c r="DC3" s="447"/>
      <c r="DD3" s="447"/>
      <c r="DE3" s="447"/>
      <c r="DF3" s="447"/>
      <c r="DG3" s="447"/>
      <c r="DH3" s="447"/>
      <c r="DI3" s="447"/>
      <c r="DJ3" s="447"/>
      <c r="DK3" s="447"/>
      <c r="DL3" s="447"/>
      <c r="DM3" s="447"/>
      <c r="DN3" s="447"/>
      <c r="DO3" s="447"/>
      <c r="DP3" s="447"/>
      <c r="DQ3" s="447"/>
      <c r="DR3" s="447"/>
      <c r="DS3" s="447"/>
      <c r="DT3" s="447"/>
      <c r="DU3" s="447"/>
      <c r="DV3" s="447"/>
      <c r="DW3" s="447"/>
      <c r="DX3" s="447"/>
      <c r="DY3" s="447"/>
      <c r="DZ3" s="447"/>
      <c r="EA3" s="447"/>
      <c r="EB3" s="447"/>
      <c r="EC3" s="447"/>
      <c r="ED3" s="447"/>
      <c r="EE3" s="447"/>
      <c r="EF3" s="447"/>
      <c r="EG3" s="447"/>
      <c r="EH3" s="447"/>
      <c r="EI3" s="447"/>
      <c r="EJ3" s="447"/>
      <c r="EK3" s="447"/>
      <c r="EL3" s="447"/>
      <c r="EM3" s="447"/>
      <c r="EN3" s="447"/>
      <c r="EO3" s="447"/>
      <c r="EP3" s="447"/>
      <c r="EQ3" s="447"/>
      <c r="ER3" s="447"/>
      <c r="ES3" s="447"/>
      <c r="ET3" s="447"/>
      <c r="EU3" s="447"/>
      <c r="EV3" s="447"/>
      <c r="EW3" s="447"/>
      <c r="EX3" s="447"/>
      <c r="EY3" s="447"/>
      <c r="EZ3" s="447"/>
      <c r="FA3" s="447"/>
      <c r="FB3" s="447"/>
      <c r="FC3" s="447"/>
      <c r="FD3" s="447"/>
      <c r="FE3" s="447"/>
      <c r="FF3" s="447"/>
    </row>
    <row r="4" spans="1:162" ht="18" customHeight="1" thickBot="1" x14ac:dyDescent="0.3">
      <c r="A4" s="35" t="s">
        <v>237</v>
      </c>
      <c r="B4" s="160">
        <v>5.5</v>
      </c>
      <c r="C4" s="160">
        <v>12</v>
      </c>
      <c r="D4" s="160">
        <v>36</v>
      </c>
      <c r="E4" s="15" t="s">
        <v>2</v>
      </c>
      <c r="F4" s="352" t="str">
        <f>IF(B4&lt;Constants!D7,"Vin_min is lower than UVLO Stop_max","Steady-state input operating voltages")</f>
        <v>Steady-state input operating voltages</v>
      </c>
      <c r="G4" s="353"/>
      <c r="H4" s="353"/>
      <c r="I4" s="354"/>
    </row>
    <row r="5" spans="1:162" ht="18" customHeight="1" thickBot="1" x14ac:dyDescent="0.3">
      <c r="A5" s="36" t="s">
        <v>45</v>
      </c>
      <c r="B5" s="244" t="s">
        <v>21</v>
      </c>
      <c r="C5" s="190">
        <v>12</v>
      </c>
      <c r="D5" s="53" t="s">
        <v>21</v>
      </c>
      <c r="E5" s="5" t="s">
        <v>2</v>
      </c>
      <c r="F5" s="327" t="s">
        <v>299</v>
      </c>
      <c r="G5" s="328"/>
      <c r="H5" s="328"/>
      <c r="I5" s="329"/>
    </row>
    <row r="6" spans="1:162" ht="53.45" customHeight="1" thickBot="1" x14ac:dyDescent="0.3">
      <c r="A6" s="103" t="s">
        <v>242</v>
      </c>
      <c r="B6" s="246">
        <v>0.6</v>
      </c>
      <c r="C6" s="227">
        <v>0.8</v>
      </c>
      <c r="D6" s="246">
        <v>0.65</v>
      </c>
      <c r="E6" s="228" t="s">
        <v>21</v>
      </c>
      <c r="F6" s="359" t="s">
        <v>340</v>
      </c>
      <c r="G6" s="360"/>
      <c r="H6" s="360"/>
      <c r="I6" s="361"/>
    </row>
    <row r="7" spans="1:162" ht="18" customHeight="1" thickBot="1" x14ac:dyDescent="0.4">
      <c r="A7" s="36" t="s">
        <v>67</v>
      </c>
      <c r="B7" s="245" t="s">
        <v>21</v>
      </c>
      <c r="C7" s="216" t="s">
        <v>21</v>
      </c>
      <c r="D7" s="191">
        <v>1</v>
      </c>
      <c r="E7" s="15" t="s">
        <v>62</v>
      </c>
      <c r="F7" s="327" t="s">
        <v>81</v>
      </c>
      <c r="G7" s="328"/>
      <c r="H7" s="328"/>
      <c r="I7" s="329"/>
    </row>
    <row r="8" spans="1:162" ht="18" customHeight="1" thickBot="1" x14ac:dyDescent="0.3">
      <c r="A8" s="237" t="s">
        <v>259</v>
      </c>
      <c r="B8" s="51" t="s">
        <v>21</v>
      </c>
      <c r="C8" s="52">
        <v>25</v>
      </c>
      <c r="D8" s="53" t="s">
        <v>21</v>
      </c>
      <c r="E8" s="54" t="s">
        <v>260</v>
      </c>
      <c r="F8" s="359" t="s">
        <v>262</v>
      </c>
      <c r="G8" s="360"/>
      <c r="H8" s="360"/>
      <c r="I8" s="361"/>
    </row>
    <row r="9" spans="1:162" ht="18" customHeight="1" thickBot="1" x14ac:dyDescent="0.3">
      <c r="A9" s="36" t="s">
        <v>120</v>
      </c>
      <c r="B9" s="192" t="s">
        <v>21</v>
      </c>
      <c r="C9" s="193" t="s">
        <v>21</v>
      </c>
      <c r="D9" s="49">
        <v>1.6</v>
      </c>
      <c r="E9" s="15" t="s">
        <v>23</v>
      </c>
      <c r="F9" s="327" t="s">
        <v>133</v>
      </c>
      <c r="G9" s="328"/>
      <c r="H9" s="328"/>
      <c r="I9" s="329"/>
    </row>
    <row r="10" spans="1:162" ht="18" customHeight="1" thickBot="1" x14ac:dyDescent="0.3">
      <c r="A10" s="36" t="s">
        <v>119</v>
      </c>
      <c r="B10" s="194" t="s">
        <v>21</v>
      </c>
      <c r="C10" s="51" t="s">
        <v>21</v>
      </c>
      <c r="D10" s="49">
        <v>1.6</v>
      </c>
      <c r="E10" s="15" t="s">
        <v>23</v>
      </c>
      <c r="F10" s="327" t="s">
        <v>133</v>
      </c>
      <c r="G10" s="328"/>
      <c r="H10" s="328"/>
      <c r="I10" s="329"/>
    </row>
    <row r="11" spans="1:162" ht="18" customHeight="1" thickBot="1" x14ac:dyDescent="0.3">
      <c r="A11" s="35" t="s">
        <v>118</v>
      </c>
      <c r="B11" s="49">
        <v>-20</v>
      </c>
      <c r="C11" s="195" t="s">
        <v>21</v>
      </c>
      <c r="D11" s="49">
        <v>20</v>
      </c>
      <c r="E11" s="15" t="s">
        <v>23</v>
      </c>
      <c r="F11" s="327" t="s">
        <v>54</v>
      </c>
      <c r="G11" s="328"/>
      <c r="H11" s="328"/>
      <c r="I11" s="329"/>
    </row>
    <row r="12" spans="1:162" ht="18" customHeight="1" thickBot="1" x14ac:dyDescent="0.3">
      <c r="A12" s="37" t="s">
        <v>63</v>
      </c>
      <c r="B12" s="196" t="s">
        <v>21</v>
      </c>
      <c r="C12" s="197">
        <v>2</v>
      </c>
      <c r="D12" s="53" t="s">
        <v>21</v>
      </c>
      <c r="E12" s="29" t="s">
        <v>36</v>
      </c>
      <c r="F12" s="376" t="s">
        <v>61</v>
      </c>
      <c r="G12" s="377"/>
      <c r="H12" s="377"/>
      <c r="I12" s="378"/>
    </row>
    <row r="13" spans="1:162" ht="18" customHeight="1" thickBot="1" x14ac:dyDescent="0.3">
      <c r="A13" s="30" t="s">
        <v>125</v>
      </c>
      <c r="B13" s="31" t="s">
        <v>21</v>
      </c>
      <c r="C13" s="28">
        <v>37</v>
      </c>
      <c r="D13" s="45" t="s">
        <v>21</v>
      </c>
      <c r="E13" s="32" t="s">
        <v>22</v>
      </c>
      <c r="F13" s="388" t="s">
        <v>224</v>
      </c>
      <c r="G13" s="389"/>
      <c r="H13" s="389"/>
      <c r="I13" s="390"/>
    </row>
    <row r="14" spans="1:162" ht="18" customHeight="1" thickBot="1" x14ac:dyDescent="0.3">
      <c r="A14" s="46" t="s">
        <v>88</v>
      </c>
      <c r="B14" s="47" t="s">
        <v>21</v>
      </c>
      <c r="C14" s="48" t="s">
        <v>21</v>
      </c>
      <c r="D14" s="49">
        <v>85</v>
      </c>
      <c r="E14" s="50" t="s">
        <v>87</v>
      </c>
      <c r="F14" s="379" t="s">
        <v>143</v>
      </c>
      <c r="G14" s="380"/>
      <c r="H14" s="380"/>
      <c r="I14" s="381"/>
    </row>
    <row r="15" spans="1:162" ht="18" customHeight="1" thickBot="1" x14ac:dyDescent="0.3">
      <c r="A15" s="341" t="s">
        <v>307</v>
      </c>
      <c r="B15" s="342"/>
      <c r="C15" s="343"/>
      <c r="D15" s="291"/>
      <c r="E15" s="292"/>
      <c r="F15" s="293"/>
      <c r="G15" s="293"/>
      <c r="H15" s="293"/>
      <c r="I15" s="294"/>
    </row>
    <row r="16" spans="1:162" ht="18" customHeight="1" thickBot="1" x14ac:dyDescent="0.3">
      <c r="A16" s="170" t="s">
        <v>282</v>
      </c>
      <c r="B16" s="295" t="s">
        <v>21</v>
      </c>
      <c r="C16" s="301">
        <v>19</v>
      </c>
      <c r="D16" s="246">
        <v>22</v>
      </c>
      <c r="E16" s="296" t="s">
        <v>86</v>
      </c>
      <c r="F16" s="181" t="s">
        <v>305</v>
      </c>
      <c r="G16" s="20"/>
      <c r="H16" s="20"/>
      <c r="I16" s="21"/>
    </row>
    <row r="17" spans="1:162" ht="18" customHeight="1" thickBot="1" x14ac:dyDescent="0.3">
      <c r="A17" s="297" t="s">
        <v>284</v>
      </c>
      <c r="B17" s="298" t="s">
        <v>21</v>
      </c>
      <c r="C17" s="300" t="s">
        <v>21</v>
      </c>
      <c r="D17" s="249">
        <v>6</v>
      </c>
      <c r="E17" s="299" t="s">
        <v>9</v>
      </c>
      <c r="F17" s="181" t="s">
        <v>306</v>
      </c>
      <c r="G17" s="20"/>
      <c r="H17" s="20"/>
      <c r="I17" s="21"/>
    </row>
    <row r="18" spans="1:162" ht="18" customHeight="1" thickBot="1" x14ac:dyDescent="0.3">
      <c r="A18" s="341" t="s">
        <v>308</v>
      </c>
      <c r="B18" s="342"/>
      <c r="C18" s="343"/>
      <c r="D18" s="148" t="s">
        <v>33</v>
      </c>
      <c r="E18" s="344" t="s">
        <v>35</v>
      </c>
      <c r="F18" s="344"/>
      <c r="G18" s="344"/>
      <c r="H18" s="344"/>
      <c r="I18" s="345"/>
      <c r="M18" s="425"/>
    </row>
    <row r="19" spans="1:162" ht="18" customHeight="1" thickBot="1" x14ac:dyDescent="0.3">
      <c r="A19" s="161" t="s">
        <v>199</v>
      </c>
      <c r="B19" s="143">
        <v>0.05</v>
      </c>
      <c r="C19" s="144">
        <v>0.32</v>
      </c>
      <c r="D19" s="145" t="s">
        <v>196</v>
      </c>
      <c r="E19" s="365" t="s">
        <v>206</v>
      </c>
      <c r="F19" s="366"/>
      <c r="G19" s="366"/>
      <c r="H19" s="366"/>
      <c r="I19" s="367"/>
    </row>
    <row r="20" spans="1:162" ht="18" customHeight="1" thickBot="1" x14ac:dyDescent="0.3">
      <c r="A20" s="103" t="s">
        <v>200</v>
      </c>
      <c r="B20" s="143">
        <v>2</v>
      </c>
      <c r="C20" s="144">
        <v>0.48</v>
      </c>
      <c r="D20" s="146" t="s">
        <v>196</v>
      </c>
      <c r="E20" s="327" t="s">
        <v>207</v>
      </c>
      <c r="F20" s="328"/>
      <c r="G20" s="328"/>
      <c r="H20" s="328"/>
      <c r="I20" s="329"/>
      <c r="K20" s="426"/>
      <c r="L20" s="427"/>
      <c r="M20" s="427"/>
      <c r="N20" s="427"/>
      <c r="O20" s="427"/>
      <c r="P20" s="426"/>
    </row>
    <row r="21" spans="1:162" ht="18" customHeight="1" thickBot="1" x14ac:dyDescent="0.3">
      <c r="A21" s="103" t="s">
        <v>201</v>
      </c>
      <c r="B21" s="143">
        <v>4</v>
      </c>
      <c r="C21" s="144">
        <v>0.59</v>
      </c>
      <c r="D21" s="146" t="s">
        <v>196</v>
      </c>
      <c r="E21" s="327" t="s">
        <v>208</v>
      </c>
      <c r="F21" s="328"/>
      <c r="G21" s="328"/>
      <c r="H21" s="328"/>
      <c r="I21" s="329"/>
      <c r="K21" s="426"/>
      <c r="L21" s="427"/>
      <c r="M21" s="427"/>
      <c r="N21" s="427"/>
      <c r="O21" s="427"/>
      <c r="P21" s="426"/>
    </row>
    <row r="22" spans="1:162" ht="18" customHeight="1" thickBot="1" x14ac:dyDescent="0.3">
      <c r="A22" s="103" t="s">
        <v>219</v>
      </c>
      <c r="B22" s="397">
        <v>-0.8</v>
      </c>
      <c r="C22" s="398"/>
      <c r="D22" s="146" t="s">
        <v>197</v>
      </c>
      <c r="E22" s="328" t="s">
        <v>218</v>
      </c>
      <c r="F22" s="328"/>
      <c r="G22" s="328"/>
      <c r="H22" s="328"/>
      <c r="I22" s="329"/>
    </row>
    <row r="23" spans="1:162" ht="18" customHeight="1" thickBot="1" x14ac:dyDescent="0.3">
      <c r="A23" s="167" t="s">
        <v>220</v>
      </c>
      <c r="B23" s="368">
        <v>50</v>
      </c>
      <c r="C23" s="369"/>
      <c r="D23" s="32" t="s">
        <v>22</v>
      </c>
      <c r="E23" s="317" t="s">
        <v>221</v>
      </c>
      <c r="F23" s="165"/>
      <c r="G23" s="165"/>
      <c r="H23" s="165"/>
      <c r="I23" s="166"/>
    </row>
    <row r="24" spans="1:162" ht="18" customHeight="1" thickBot="1" x14ac:dyDescent="0.3">
      <c r="A24" s="233" t="s">
        <v>192</v>
      </c>
      <c r="B24" s="334">
        <f ca="1">FORECAST(D7, OFFSET(Design!$C$19:$C$21,MATCH(D7,Design!$B$19:$B$21,1)-1,0,2), OFFSET(Design!$B$19:$B$21,MATCH(D7,Design!$B$19:$B$21,1)-1,0,2))</f>
        <v>0.39794871794871794</v>
      </c>
      <c r="C24" s="335"/>
      <c r="D24" s="289" t="s">
        <v>2</v>
      </c>
      <c r="E24" s="234" t="s">
        <v>309</v>
      </c>
      <c r="F24" s="235"/>
      <c r="G24" s="235"/>
      <c r="H24" s="235"/>
      <c r="I24" s="236"/>
    </row>
    <row r="25" spans="1:162" ht="18" customHeight="1" thickBot="1" x14ac:dyDescent="0.3">
      <c r="A25" s="341" t="s">
        <v>310</v>
      </c>
      <c r="B25" s="342"/>
      <c r="C25" s="343"/>
      <c r="D25" s="148" t="s">
        <v>33</v>
      </c>
      <c r="E25" s="344" t="s">
        <v>35</v>
      </c>
      <c r="F25" s="344"/>
      <c r="G25" s="344"/>
      <c r="H25" s="344"/>
      <c r="I25" s="345"/>
      <c r="K25" s="428" t="s">
        <v>304</v>
      </c>
      <c r="X25" s="448" t="s">
        <v>339</v>
      </c>
      <c r="Y25" s="446" t="s">
        <v>338</v>
      </c>
    </row>
    <row r="26" spans="1:162" ht="32.1" customHeight="1" thickBot="1" x14ac:dyDescent="0.3">
      <c r="A26" s="288" t="s">
        <v>302</v>
      </c>
      <c r="B26" s="336">
        <v>0.7</v>
      </c>
      <c r="C26" s="337"/>
      <c r="D26" s="290" t="s">
        <v>2</v>
      </c>
      <c r="E26" s="234" t="s">
        <v>325</v>
      </c>
      <c r="F26" s="235"/>
      <c r="G26" s="235" t="s">
        <v>324</v>
      </c>
      <c r="H26" s="235"/>
      <c r="I26" s="236"/>
      <c r="X26" s="448">
        <f>Vin_min</f>
        <v>5.5</v>
      </c>
      <c r="Y26" s="449">
        <f>1-Constants!$D$19*IF(X26&lt;=18,Fsw,1.5*Fsw-X26/36*Fsw)/1000</f>
        <v>0.95199999999999996</v>
      </c>
    </row>
    <row r="27" spans="1:162" s="424" customFormat="1" ht="26.45" customHeight="1" thickBot="1" x14ac:dyDescent="0.35">
      <c r="A27" s="391" t="s">
        <v>156</v>
      </c>
      <c r="B27" s="392"/>
      <c r="C27" s="392"/>
      <c r="D27" s="392"/>
      <c r="E27" s="392"/>
      <c r="F27" s="392"/>
      <c r="G27" s="392"/>
      <c r="H27" s="392"/>
      <c r="I27" s="393"/>
      <c r="J27" s="423"/>
      <c r="L27" s="423"/>
      <c r="M27" s="423"/>
      <c r="N27" s="423"/>
      <c r="O27" s="423"/>
      <c r="P27" s="436"/>
      <c r="Q27" s="437"/>
      <c r="R27" s="437"/>
      <c r="S27" s="437"/>
      <c r="T27" s="447"/>
      <c r="U27" s="447"/>
      <c r="V27" s="447"/>
      <c r="W27" s="447"/>
      <c r="X27" s="448">
        <v>18</v>
      </c>
      <c r="Y27" s="449">
        <f>1-Constants!$D$19*IF(X27&lt;=18,Fsw,1.5*Fsw-X27/36*Fsw)/1000</f>
        <v>0.95199999999999996</v>
      </c>
      <c r="Z27" s="447"/>
      <c r="AA27" s="447"/>
      <c r="AB27" s="447"/>
      <c r="AC27" s="447"/>
      <c r="AD27" s="447"/>
      <c r="AE27" s="447"/>
      <c r="AF27" s="447"/>
      <c r="AG27" s="447"/>
      <c r="AH27" s="447"/>
      <c r="AI27" s="447"/>
      <c r="AJ27" s="447"/>
      <c r="AK27" s="447"/>
      <c r="AL27" s="447"/>
      <c r="AM27" s="447"/>
      <c r="AN27" s="447"/>
      <c r="AO27" s="447"/>
      <c r="AP27" s="447"/>
      <c r="AQ27" s="447"/>
      <c r="AR27" s="447"/>
      <c r="AS27" s="447"/>
      <c r="AT27" s="447"/>
      <c r="AU27" s="447"/>
      <c r="AV27" s="447"/>
      <c r="AW27" s="447"/>
      <c r="AX27" s="447"/>
      <c r="AY27" s="447"/>
      <c r="AZ27" s="447"/>
      <c r="BA27" s="447"/>
      <c r="BB27" s="447"/>
      <c r="BC27" s="447"/>
      <c r="BD27" s="447"/>
      <c r="BE27" s="447"/>
      <c r="BF27" s="447"/>
      <c r="BG27" s="447"/>
      <c r="BH27" s="447"/>
      <c r="BI27" s="447"/>
      <c r="BJ27" s="447"/>
      <c r="BK27" s="447"/>
      <c r="BL27" s="447"/>
      <c r="BM27" s="447"/>
      <c r="BN27" s="447"/>
      <c r="BO27" s="447"/>
      <c r="BP27" s="447"/>
      <c r="BQ27" s="447"/>
      <c r="BR27" s="447"/>
      <c r="BS27" s="447"/>
      <c r="BT27" s="447"/>
      <c r="BU27" s="447"/>
      <c r="BV27" s="447"/>
      <c r="BW27" s="447"/>
      <c r="BX27" s="447"/>
      <c r="BY27" s="447"/>
      <c r="BZ27" s="447"/>
      <c r="CA27" s="447"/>
      <c r="CB27" s="447"/>
      <c r="CC27" s="447"/>
      <c r="CD27" s="447"/>
      <c r="CE27" s="447"/>
      <c r="CF27" s="447"/>
      <c r="CG27" s="447"/>
      <c r="CH27" s="447"/>
      <c r="CI27" s="447"/>
      <c r="CJ27" s="447"/>
      <c r="CK27" s="447"/>
      <c r="CL27" s="447"/>
      <c r="CM27" s="447"/>
      <c r="CN27" s="447"/>
      <c r="CO27" s="447"/>
      <c r="CP27" s="447"/>
      <c r="CQ27" s="447"/>
      <c r="CR27" s="447"/>
      <c r="CS27" s="447"/>
      <c r="CT27" s="447"/>
      <c r="CU27" s="447"/>
      <c r="CV27" s="447"/>
      <c r="CW27" s="447"/>
      <c r="CX27" s="447"/>
      <c r="CY27" s="447"/>
      <c r="CZ27" s="447"/>
      <c r="DA27" s="447"/>
      <c r="DB27" s="447"/>
      <c r="DC27" s="447"/>
      <c r="DD27" s="447"/>
      <c r="DE27" s="447"/>
      <c r="DF27" s="447"/>
      <c r="DG27" s="447"/>
      <c r="DH27" s="447"/>
      <c r="DI27" s="447"/>
      <c r="DJ27" s="447"/>
      <c r="DK27" s="447"/>
      <c r="DL27" s="447"/>
      <c r="DM27" s="447"/>
      <c r="DN27" s="447"/>
      <c r="DO27" s="447"/>
      <c r="DP27" s="447"/>
      <c r="DQ27" s="447"/>
      <c r="DR27" s="447"/>
      <c r="DS27" s="447"/>
      <c r="DT27" s="447"/>
      <c r="DU27" s="447"/>
      <c r="DV27" s="447"/>
      <c r="DW27" s="447"/>
      <c r="DX27" s="447"/>
      <c r="DY27" s="447"/>
      <c r="DZ27" s="447"/>
      <c r="EA27" s="447"/>
      <c r="EB27" s="447"/>
      <c r="EC27" s="447"/>
      <c r="ED27" s="447"/>
      <c r="EE27" s="447"/>
      <c r="EF27" s="447"/>
      <c r="EG27" s="447"/>
      <c r="EH27" s="447"/>
      <c r="EI27" s="447"/>
      <c r="EJ27" s="447"/>
      <c r="EK27" s="447"/>
      <c r="EL27" s="447"/>
      <c r="EM27" s="447"/>
      <c r="EN27" s="447"/>
      <c r="EO27" s="447"/>
      <c r="EP27" s="447"/>
      <c r="EQ27" s="447"/>
      <c r="ER27" s="447"/>
      <c r="ES27" s="447"/>
      <c r="ET27" s="447"/>
      <c r="EU27" s="447"/>
      <c r="EV27" s="447"/>
      <c r="EW27" s="447"/>
      <c r="EX27" s="447"/>
      <c r="EY27" s="447"/>
      <c r="EZ27" s="447"/>
      <c r="FA27" s="447"/>
      <c r="FB27" s="447"/>
      <c r="FC27" s="447"/>
      <c r="FD27" s="447"/>
      <c r="FE27" s="447"/>
      <c r="FF27" s="447"/>
    </row>
    <row r="28" spans="1:162" s="424" customFormat="1" ht="18" customHeight="1" x14ac:dyDescent="0.3">
      <c r="A28" s="100" t="s">
        <v>29</v>
      </c>
      <c r="B28" s="320" t="s">
        <v>28</v>
      </c>
      <c r="C28" s="320" t="s">
        <v>33</v>
      </c>
      <c r="D28" s="385" t="s">
        <v>35</v>
      </c>
      <c r="E28" s="386"/>
      <c r="F28" s="386"/>
      <c r="G28" s="386"/>
      <c r="H28" s="386"/>
      <c r="I28" s="387"/>
      <c r="J28" s="423"/>
      <c r="K28" s="423"/>
      <c r="L28" s="423"/>
      <c r="M28" s="423"/>
      <c r="N28" s="423"/>
      <c r="O28" s="423"/>
      <c r="P28" s="436"/>
      <c r="Q28" s="437"/>
      <c r="R28" s="437"/>
      <c r="S28" s="437"/>
      <c r="T28" s="450" t="s">
        <v>330</v>
      </c>
      <c r="U28" s="451">
        <v>25</v>
      </c>
      <c r="V28" s="452" t="s">
        <v>342</v>
      </c>
      <c r="W28" s="447"/>
      <c r="X28" s="448">
        <f>Vin_max</f>
        <v>36</v>
      </c>
      <c r="Y28" s="449">
        <f>1-Constants!$D$19*IF(X28&lt;=18,Fsw,1.5*Fsw-X28/36*Fsw)/1000</f>
        <v>0.97599999999999998</v>
      </c>
      <c r="Z28" s="447"/>
      <c r="AA28" s="447"/>
      <c r="AB28" s="447"/>
      <c r="AC28" s="447"/>
      <c r="AD28" s="447"/>
      <c r="AE28" s="447"/>
      <c r="AF28" s="447"/>
      <c r="AG28" s="447"/>
      <c r="AH28" s="447"/>
      <c r="AI28" s="447"/>
      <c r="AJ28" s="447"/>
      <c r="AK28" s="447"/>
      <c r="AL28" s="447"/>
      <c r="AM28" s="447"/>
      <c r="AN28" s="447"/>
      <c r="AO28" s="447"/>
      <c r="AP28" s="447"/>
      <c r="AQ28" s="447"/>
      <c r="AR28" s="447"/>
      <c r="AS28" s="447"/>
      <c r="AT28" s="447"/>
      <c r="AU28" s="447"/>
      <c r="AV28" s="447"/>
      <c r="AW28" s="447"/>
      <c r="AX28" s="447"/>
      <c r="AY28" s="447"/>
      <c r="AZ28" s="447"/>
      <c r="BA28" s="447"/>
      <c r="BB28" s="447"/>
      <c r="BC28" s="447"/>
      <c r="BD28" s="447"/>
      <c r="BE28" s="447"/>
      <c r="BF28" s="447"/>
      <c r="BG28" s="447"/>
      <c r="BH28" s="447"/>
      <c r="BI28" s="447"/>
      <c r="BJ28" s="447"/>
      <c r="BK28" s="447"/>
      <c r="BL28" s="447"/>
      <c r="BM28" s="447"/>
      <c r="BN28" s="447"/>
      <c r="BO28" s="447"/>
      <c r="BP28" s="447"/>
      <c r="BQ28" s="447"/>
      <c r="BR28" s="447"/>
      <c r="BS28" s="447"/>
      <c r="BT28" s="447"/>
      <c r="BU28" s="447"/>
      <c r="BV28" s="447"/>
      <c r="BW28" s="447"/>
      <c r="BX28" s="447"/>
      <c r="BY28" s="447"/>
      <c r="BZ28" s="447"/>
      <c r="CA28" s="447"/>
      <c r="CB28" s="447"/>
      <c r="CC28" s="447"/>
      <c r="CD28" s="447"/>
      <c r="CE28" s="447"/>
      <c r="CF28" s="447"/>
      <c r="CG28" s="447"/>
      <c r="CH28" s="447"/>
      <c r="CI28" s="447"/>
      <c r="CJ28" s="447"/>
      <c r="CK28" s="447"/>
      <c r="CL28" s="447"/>
      <c r="CM28" s="447"/>
      <c r="CN28" s="447"/>
      <c r="CO28" s="447"/>
      <c r="CP28" s="447"/>
      <c r="CQ28" s="447"/>
      <c r="CR28" s="447"/>
      <c r="CS28" s="447"/>
      <c r="CT28" s="447"/>
      <c r="CU28" s="447"/>
      <c r="CV28" s="447"/>
      <c r="CW28" s="447"/>
      <c r="CX28" s="447"/>
      <c r="CY28" s="447"/>
      <c r="CZ28" s="447"/>
      <c r="DA28" s="447"/>
      <c r="DB28" s="447"/>
      <c r="DC28" s="447"/>
      <c r="DD28" s="447"/>
      <c r="DE28" s="447"/>
      <c r="DF28" s="447"/>
      <c r="DG28" s="447"/>
      <c r="DH28" s="447"/>
      <c r="DI28" s="447"/>
      <c r="DJ28" s="447"/>
      <c r="DK28" s="447"/>
      <c r="DL28" s="447"/>
      <c r="DM28" s="447"/>
      <c r="DN28" s="447"/>
      <c r="DO28" s="447"/>
      <c r="DP28" s="447"/>
      <c r="DQ28" s="447"/>
      <c r="DR28" s="447"/>
      <c r="DS28" s="447"/>
      <c r="DT28" s="447"/>
      <c r="DU28" s="447"/>
      <c r="DV28" s="447"/>
      <c r="DW28" s="447"/>
      <c r="DX28" s="447"/>
      <c r="DY28" s="447"/>
      <c r="DZ28" s="447"/>
      <c r="EA28" s="447"/>
      <c r="EB28" s="447"/>
      <c r="EC28" s="447"/>
      <c r="ED28" s="447"/>
      <c r="EE28" s="447"/>
      <c r="EF28" s="447"/>
      <c r="EG28" s="447"/>
      <c r="EH28" s="447"/>
      <c r="EI28" s="447"/>
      <c r="EJ28" s="447"/>
      <c r="EK28" s="447"/>
      <c r="EL28" s="447"/>
      <c r="EM28" s="447"/>
      <c r="EN28" s="447"/>
      <c r="EO28" s="447"/>
      <c r="EP28" s="447"/>
      <c r="EQ28" s="447"/>
      <c r="ER28" s="447"/>
      <c r="ES28" s="447"/>
      <c r="ET28" s="447"/>
      <c r="EU28" s="447"/>
      <c r="EV28" s="447"/>
      <c r="EW28" s="447"/>
      <c r="EX28" s="447"/>
      <c r="EY28" s="447"/>
      <c r="EZ28" s="447"/>
      <c r="FA28" s="447"/>
      <c r="FB28" s="447"/>
      <c r="FC28" s="447"/>
      <c r="FD28" s="447"/>
      <c r="FE28" s="447"/>
      <c r="FF28" s="447"/>
    </row>
    <row r="29" spans="1:162" ht="18" customHeight="1" x14ac:dyDescent="0.25">
      <c r="A29" s="382" t="s">
        <v>216</v>
      </c>
      <c r="B29" s="383"/>
      <c r="C29" s="383"/>
      <c r="D29" s="383"/>
      <c r="E29" s="383"/>
      <c r="F29" s="383"/>
      <c r="G29" s="383"/>
      <c r="H29" s="383"/>
      <c r="I29" s="384"/>
    </row>
    <row r="30" spans="1:162" ht="18" customHeight="1" thickBot="1" x14ac:dyDescent="0.3">
      <c r="A30" s="38" t="s">
        <v>46</v>
      </c>
      <c r="B30" s="333">
        <f>Constants!C5*1000*Design!C5/Constants!C3/1000</f>
        <v>60</v>
      </c>
      <c r="C30" s="333"/>
      <c r="D30" s="229" t="s">
        <v>251</v>
      </c>
      <c r="E30" s="12" t="s">
        <v>246</v>
      </c>
      <c r="F30" s="10"/>
      <c r="G30" s="10"/>
      <c r="H30" s="10"/>
      <c r="I30" s="39"/>
      <c r="R30" s="438"/>
      <c r="S30" s="438"/>
      <c r="T30" s="453" t="s">
        <v>327</v>
      </c>
      <c r="U30" s="454" t="str">
        <f ca="1">IF(U37=0,"Buck", "Buck Boost")</f>
        <v>Buck Boost</v>
      </c>
      <c r="V30" s="454" t="str">
        <f t="shared" ref="V30:CG30" si="0">IF(V34=0,"Buck", "Buck Boost")</f>
        <v>Buck Boost</v>
      </c>
      <c r="W30" s="454" t="str">
        <f t="shared" si="0"/>
        <v>Buck Boost</v>
      </c>
      <c r="X30" s="454" t="str">
        <f t="shared" si="0"/>
        <v>Buck Boost</v>
      </c>
      <c r="Y30" s="454" t="str">
        <f t="shared" si="0"/>
        <v>Buck Boost</v>
      </c>
      <c r="Z30" s="454" t="str">
        <f t="shared" si="0"/>
        <v>Buck Boost</v>
      </c>
      <c r="AA30" s="454" t="str">
        <f t="shared" si="0"/>
        <v>Buck Boost</v>
      </c>
      <c r="AB30" s="454" t="str">
        <f t="shared" si="0"/>
        <v>Buck Boost</v>
      </c>
      <c r="AC30" s="454" t="str">
        <f t="shared" si="0"/>
        <v>Buck Boost</v>
      </c>
      <c r="AD30" s="454" t="str">
        <f t="shared" si="0"/>
        <v>Buck Boost</v>
      </c>
      <c r="AE30" s="454" t="str">
        <f t="shared" si="0"/>
        <v>Buck Boost</v>
      </c>
      <c r="AF30" s="454" t="str">
        <f t="shared" si="0"/>
        <v>Buck Boost</v>
      </c>
      <c r="AG30" s="454" t="str">
        <f t="shared" si="0"/>
        <v>Buck Boost</v>
      </c>
      <c r="AH30" s="454" t="str">
        <f t="shared" si="0"/>
        <v>Buck Boost</v>
      </c>
      <c r="AI30" s="454" t="str">
        <f t="shared" si="0"/>
        <v>Buck Boost</v>
      </c>
      <c r="AJ30" s="454" t="str">
        <f t="shared" si="0"/>
        <v>Buck Boost</v>
      </c>
      <c r="AK30" s="454" t="str">
        <f t="shared" si="0"/>
        <v>Buck Boost</v>
      </c>
      <c r="AL30" s="454" t="str">
        <f t="shared" si="0"/>
        <v>Buck Boost</v>
      </c>
      <c r="AM30" s="454" t="str">
        <f t="shared" si="0"/>
        <v>Buck Boost</v>
      </c>
      <c r="AN30" s="454" t="str">
        <f t="shared" si="0"/>
        <v>Buck Boost</v>
      </c>
      <c r="AO30" s="454" t="str">
        <f t="shared" si="0"/>
        <v>Buck Boost</v>
      </c>
      <c r="AP30" s="454" t="str">
        <f t="shared" si="0"/>
        <v>Buck Boost</v>
      </c>
      <c r="AQ30" s="454" t="str">
        <f t="shared" si="0"/>
        <v>Buck Boost</v>
      </c>
      <c r="AR30" s="454" t="str">
        <f t="shared" si="0"/>
        <v>Buck Boost</v>
      </c>
      <c r="AS30" s="454" t="str">
        <f t="shared" si="0"/>
        <v>Buck Boost</v>
      </c>
      <c r="AT30" s="454" t="str">
        <f t="shared" si="0"/>
        <v>Buck Boost</v>
      </c>
      <c r="AU30" s="454" t="str">
        <f t="shared" si="0"/>
        <v>Buck Boost</v>
      </c>
      <c r="AV30" s="454" t="str">
        <f t="shared" si="0"/>
        <v>Buck Boost</v>
      </c>
      <c r="AW30" s="454" t="str">
        <f t="shared" si="0"/>
        <v>Buck Boost</v>
      </c>
      <c r="AX30" s="454" t="str">
        <f t="shared" si="0"/>
        <v>Buck Boost</v>
      </c>
      <c r="AY30" s="454" t="str">
        <f t="shared" si="0"/>
        <v>Buck Boost</v>
      </c>
      <c r="AZ30" s="454" t="str">
        <f t="shared" si="0"/>
        <v>Buck Boost</v>
      </c>
      <c r="BA30" s="454" t="str">
        <f t="shared" si="0"/>
        <v>Buck Boost</v>
      </c>
      <c r="BB30" s="454" t="str">
        <f t="shared" si="0"/>
        <v>Buck Boost</v>
      </c>
      <c r="BC30" s="454" t="str">
        <f t="shared" si="0"/>
        <v>Buck Boost</v>
      </c>
      <c r="BD30" s="454" t="str">
        <f t="shared" si="0"/>
        <v>Buck Boost</v>
      </c>
      <c r="BE30" s="454" t="str">
        <f t="shared" si="0"/>
        <v>Buck Boost</v>
      </c>
      <c r="BF30" s="454" t="str">
        <f t="shared" si="0"/>
        <v>Buck Boost</v>
      </c>
      <c r="BG30" s="454" t="str">
        <f t="shared" si="0"/>
        <v>Buck Boost</v>
      </c>
      <c r="BH30" s="454" t="str">
        <f t="shared" si="0"/>
        <v>Buck Boost</v>
      </c>
      <c r="BI30" s="454" t="str">
        <f t="shared" si="0"/>
        <v>Buck Boost</v>
      </c>
      <c r="BJ30" s="454" t="str">
        <f t="shared" si="0"/>
        <v>Buck Boost</v>
      </c>
      <c r="BK30" s="454" t="str">
        <f t="shared" si="0"/>
        <v>Buck Boost</v>
      </c>
      <c r="BL30" s="454" t="str">
        <f t="shared" si="0"/>
        <v>Buck Boost</v>
      </c>
      <c r="BM30" s="454" t="str">
        <f t="shared" si="0"/>
        <v>Buck Boost</v>
      </c>
      <c r="BN30" s="454" t="str">
        <f t="shared" si="0"/>
        <v>Buck</v>
      </c>
      <c r="BO30" s="454" t="str">
        <f t="shared" si="0"/>
        <v>Buck</v>
      </c>
      <c r="BP30" s="454" t="str">
        <f t="shared" si="0"/>
        <v>Buck</v>
      </c>
      <c r="BQ30" s="454" t="str">
        <f t="shared" si="0"/>
        <v>Buck</v>
      </c>
      <c r="BR30" s="454" t="str">
        <f t="shared" si="0"/>
        <v>Buck</v>
      </c>
      <c r="BS30" s="454" t="str">
        <f t="shared" si="0"/>
        <v>Buck</v>
      </c>
      <c r="BT30" s="454" t="str">
        <f t="shared" si="0"/>
        <v>Buck</v>
      </c>
      <c r="BU30" s="454" t="str">
        <f t="shared" si="0"/>
        <v>Buck</v>
      </c>
      <c r="BV30" s="454" t="str">
        <f t="shared" si="0"/>
        <v>Buck</v>
      </c>
      <c r="BW30" s="454" t="str">
        <f t="shared" si="0"/>
        <v>Buck</v>
      </c>
      <c r="BX30" s="454" t="str">
        <f t="shared" si="0"/>
        <v>Buck</v>
      </c>
      <c r="BY30" s="454" t="str">
        <f t="shared" si="0"/>
        <v>Buck</v>
      </c>
      <c r="BZ30" s="454" t="str">
        <f t="shared" si="0"/>
        <v>Buck</v>
      </c>
      <c r="CA30" s="454" t="str">
        <f t="shared" si="0"/>
        <v>Buck</v>
      </c>
      <c r="CB30" s="454" t="str">
        <f t="shared" si="0"/>
        <v>Buck</v>
      </c>
      <c r="CC30" s="454" t="str">
        <f t="shared" si="0"/>
        <v>Buck</v>
      </c>
      <c r="CD30" s="454" t="str">
        <f t="shared" si="0"/>
        <v>Buck</v>
      </c>
      <c r="CE30" s="454" t="str">
        <f t="shared" si="0"/>
        <v>Buck</v>
      </c>
      <c r="CF30" s="454" t="str">
        <f t="shared" si="0"/>
        <v>Buck</v>
      </c>
      <c r="CG30" s="454" t="str">
        <f t="shared" si="0"/>
        <v>Buck</v>
      </c>
      <c r="CH30" s="454" t="str">
        <f t="shared" ref="CH30:ES30" si="1">IF(CH34=0,"Buck", "Buck Boost")</f>
        <v>Buck</v>
      </c>
      <c r="CI30" s="454" t="str">
        <f t="shared" si="1"/>
        <v>Buck</v>
      </c>
      <c r="CJ30" s="454" t="str">
        <f t="shared" si="1"/>
        <v>Buck</v>
      </c>
      <c r="CK30" s="454" t="str">
        <f t="shared" si="1"/>
        <v>Buck</v>
      </c>
      <c r="CL30" s="454" t="str">
        <f t="shared" si="1"/>
        <v>Buck</v>
      </c>
      <c r="CM30" s="454" t="str">
        <f t="shared" si="1"/>
        <v>Buck</v>
      </c>
      <c r="CN30" s="454" t="str">
        <f t="shared" si="1"/>
        <v>Buck</v>
      </c>
      <c r="CO30" s="454" t="str">
        <f t="shared" si="1"/>
        <v>Buck</v>
      </c>
      <c r="CP30" s="454" t="str">
        <f t="shared" si="1"/>
        <v>Buck</v>
      </c>
      <c r="CQ30" s="454" t="str">
        <f t="shared" si="1"/>
        <v>Buck</v>
      </c>
      <c r="CR30" s="454" t="str">
        <f t="shared" si="1"/>
        <v>Buck</v>
      </c>
      <c r="CS30" s="454" t="str">
        <f t="shared" si="1"/>
        <v>Buck</v>
      </c>
      <c r="CT30" s="454" t="str">
        <f t="shared" si="1"/>
        <v>Buck</v>
      </c>
      <c r="CU30" s="454" t="str">
        <f t="shared" si="1"/>
        <v>Buck</v>
      </c>
      <c r="CV30" s="454" t="str">
        <f t="shared" si="1"/>
        <v>Buck</v>
      </c>
      <c r="CW30" s="454" t="str">
        <f t="shared" si="1"/>
        <v>Buck</v>
      </c>
      <c r="CX30" s="454" t="str">
        <f t="shared" si="1"/>
        <v>Buck</v>
      </c>
      <c r="CY30" s="454" t="str">
        <f t="shared" si="1"/>
        <v>Buck</v>
      </c>
      <c r="CZ30" s="454" t="str">
        <f t="shared" si="1"/>
        <v>Buck</v>
      </c>
      <c r="DA30" s="454" t="str">
        <f t="shared" si="1"/>
        <v>Buck</v>
      </c>
      <c r="DB30" s="454" t="str">
        <f t="shared" si="1"/>
        <v>Buck</v>
      </c>
      <c r="DC30" s="454" t="str">
        <f t="shared" si="1"/>
        <v>Buck</v>
      </c>
      <c r="DD30" s="454" t="str">
        <f t="shared" si="1"/>
        <v>Buck</v>
      </c>
      <c r="DE30" s="454" t="str">
        <f t="shared" si="1"/>
        <v>Buck</v>
      </c>
      <c r="DF30" s="454" t="str">
        <f t="shared" si="1"/>
        <v>Buck</v>
      </c>
      <c r="DG30" s="454" t="str">
        <f t="shared" si="1"/>
        <v>Buck</v>
      </c>
      <c r="DH30" s="454" t="str">
        <f t="shared" si="1"/>
        <v>Buck</v>
      </c>
      <c r="DI30" s="454" t="str">
        <f t="shared" si="1"/>
        <v>Buck</v>
      </c>
      <c r="DJ30" s="454" t="str">
        <f t="shared" si="1"/>
        <v>Buck</v>
      </c>
      <c r="DK30" s="454" t="str">
        <f t="shared" si="1"/>
        <v>Buck</v>
      </c>
      <c r="DL30" s="454" t="str">
        <f t="shared" si="1"/>
        <v>Buck</v>
      </c>
      <c r="DM30" s="454" t="str">
        <f t="shared" si="1"/>
        <v>Buck</v>
      </c>
      <c r="DN30" s="454" t="str">
        <f t="shared" si="1"/>
        <v>Buck</v>
      </c>
      <c r="DO30" s="454" t="str">
        <f t="shared" si="1"/>
        <v>Buck</v>
      </c>
      <c r="DP30" s="454" t="str">
        <f t="shared" si="1"/>
        <v>Buck</v>
      </c>
      <c r="DQ30" s="454" t="str">
        <f t="shared" si="1"/>
        <v>Buck</v>
      </c>
      <c r="DR30" s="454" t="str">
        <f t="shared" si="1"/>
        <v>Buck</v>
      </c>
      <c r="DS30" s="454" t="str">
        <f t="shared" si="1"/>
        <v>Buck</v>
      </c>
      <c r="DT30" s="454" t="str">
        <f t="shared" si="1"/>
        <v>Buck</v>
      </c>
      <c r="DU30" s="454" t="str">
        <f t="shared" si="1"/>
        <v>Buck</v>
      </c>
      <c r="DV30" s="454" t="str">
        <f t="shared" si="1"/>
        <v>Buck</v>
      </c>
      <c r="DW30" s="454" t="str">
        <f t="shared" si="1"/>
        <v>Buck</v>
      </c>
      <c r="DX30" s="454" t="str">
        <f t="shared" si="1"/>
        <v>Buck</v>
      </c>
      <c r="DY30" s="454" t="str">
        <f t="shared" si="1"/>
        <v>Buck</v>
      </c>
      <c r="DZ30" s="454" t="str">
        <f t="shared" si="1"/>
        <v>Buck</v>
      </c>
      <c r="EA30" s="454" t="str">
        <f t="shared" si="1"/>
        <v>Buck</v>
      </c>
      <c r="EB30" s="454" t="str">
        <f t="shared" si="1"/>
        <v>Buck</v>
      </c>
      <c r="EC30" s="454" t="str">
        <f t="shared" si="1"/>
        <v>Buck</v>
      </c>
      <c r="ED30" s="454" t="str">
        <f t="shared" si="1"/>
        <v>Buck</v>
      </c>
      <c r="EE30" s="454" t="str">
        <f t="shared" si="1"/>
        <v>Buck</v>
      </c>
      <c r="EF30" s="454" t="str">
        <f t="shared" si="1"/>
        <v>Buck</v>
      </c>
      <c r="EG30" s="454" t="str">
        <f t="shared" si="1"/>
        <v>Buck</v>
      </c>
      <c r="EH30" s="454" t="str">
        <f t="shared" si="1"/>
        <v>Buck</v>
      </c>
      <c r="EI30" s="454" t="str">
        <f t="shared" si="1"/>
        <v>Buck</v>
      </c>
      <c r="EJ30" s="454" t="str">
        <f t="shared" si="1"/>
        <v>Buck</v>
      </c>
      <c r="EK30" s="454" t="str">
        <f t="shared" si="1"/>
        <v>Buck</v>
      </c>
      <c r="EL30" s="454" t="str">
        <f t="shared" si="1"/>
        <v>Buck</v>
      </c>
      <c r="EM30" s="454" t="str">
        <f t="shared" si="1"/>
        <v>Buck</v>
      </c>
      <c r="EN30" s="454" t="str">
        <f t="shared" si="1"/>
        <v>Buck</v>
      </c>
      <c r="EO30" s="454" t="str">
        <f t="shared" si="1"/>
        <v>Buck</v>
      </c>
      <c r="EP30" s="454" t="str">
        <f t="shared" si="1"/>
        <v>Buck</v>
      </c>
      <c r="EQ30" s="454" t="str">
        <f t="shared" si="1"/>
        <v>Buck</v>
      </c>
      <c r="ER30" s="454" t="str">
        <f t="shared" si="1"/>
        <v>Buck</v>
      </c>
      <c r="ES30" s="454" t="str">
        <f t="shared" si="1"/>
        <v>Buck</v>
      </c>
      <c r="ET30" s="454" t="str">
        <f t="shared" ref="ET30:FE30" si="2">IF(ET34=0,"Buck", "Buck Boost")</f>
        <v>Buck</v>
      </c>
      <c r="EU30" s="454" t="str">
        <f t="shared" si="2"/>
        <v>Buck</v>
      </c>
      <c r="EV30" s="454" t="str">
        <f t="shared" si="2"/>
        <v>Buck</v>
      </c>
      <c r="EW30" s="454" t="str">
        <f t="shared" si="2"/>
        <v>Buck</v>
      </c>
      <c r="EX30" s="454" t="str">
        <f t="shared" si="2"/>
        <v>Buck</v>
      </c>
      <c r="EY30" s="454" t="str">
        <f t="shared" si="2"/>
        <v>Buck</v>
      </c>
      <c r="EZ30" s="454" t="str">
        <f t="shared" si="2"/>
        <v>Buck</v>
      </c>
      <c r="FA30" s="454" t="str">
        <f t="shared" si="2"/>
        <v>Buck</v>
      </c>
      <c r="FB30" s="454" t="str">
        <f t="shared" si="2"/>
        <v>Buck</v>
      </c>
      <c r="FC30" s="454" t="str">
        <f t="shared" si="2"/>
        <v>Buck</v>
      </c>
      <c r="FD30" s="454" t="str">
        <f t="shared" si="2"/>
        <v>Buck</v>
      </c>
      <c r="FE30" s="454" t="str">
        <f t="shared" si="2"/>
        <v>Buck</v>
      </c>
      <c r="FF30" s="455"/>
    </row>
    <row r="31" spans="1:162" ht="18" customHeight="1" thickBot="1" x14ac:dyDescent="0.3">
      <c r="A31" s="81" t="s">
        <v>48</v>
      </c>
      <c r="B31" s="325">
        <v>60</v>
      </c>
      <c r="C31" s="326"/>
      <c r="D31" s="83" t="s">
        <v>251</v>
      </c>
      <c r="E31" s="12" t="s">
        <v>247</v>
      </c>
      <c r="F31" s="10"/>
      <c r="G31" s="10"/>
      <c r="H31" s="10"/>
      <c r="I31" s="39"/>
      <c r="R31" s="438"/>
      <c r="S31" s="438"/>
      <c r="T31" s="453" t="s">
        <v>333</v>
      </c>
      <c r="U31" s="456">
        <f>Vin_min</f>
        <v>5.5</v>
      </c>
      <c r="V31" s="456">
        <f>U31+(Vin_max-Vin_min)/140</f>
        <v>5.7178571428571425</v>
      </c>
      <c r="W31" s="456">
        <f>V31+(Vin_max-Vin_min)/140</f>
        <v>5.9357142857142851</v>
      </c>
      <c r="X31" s="456">
        <f>W31+(Vin_max-Vin_min)/140</f>
        <v>6.1535714285714276</v>
      </c>
      <c r="Y31" s="456">
        <f t="shared" ref="Y31:BA31" si="3">X31+(Vin_max-Vin_min)/140</f>
        <v>6.3714285714285701</v>
      </c>
      <c r="Z31" s="456">
        <f t="shared" si="3"/>
        <v>6.5892857142857126</v>
      </c>
      <c r="AA31" s="456">
        <f t="shared" si="3"/>
        <v>6.8071428571428552</v>
      </c>
      <c r="AB31" s="456">
        <f t="shared" si="3"/>
        <v>7.0249999999999977</v>
      </c>
      <c r="AC31" s="456">
        <f t="shared" si="3"/>
        <v>7.2428571428571402</v>
      </c>
      <c r="AD31" s="456">
        <f t="shared" si="3"/>
        <v>7.4607142857142827</v>
      </c>
      <c r="AE31" s="456">
        <f t="shared" si="3"/>
        <v>7.6785714285714253</v>
      </c>
      <c r="AF31" s="456">
        <f t="shared" si="3"/>
        <v>7.8964285714285678</v>
      </c>
      <c r="AG31" s="456">
        <f t="shared" si="3"/>
        <v>8.1142857142857103</v>
      </c>
      <c r="AH31" s="456">
        <f t="shared" si="3"/>
        <v>8.3321428571428537</v>
      </c>
      <c r="AI31" s="456">
        <f t="shared" si="3"/>
        <v>8.5499999999999972</v>
      </c>
      <c r="AJ31" s="456">
        <f t="shared" si="3"/>
        <v>8.7678571428571406</v>
      </c>
      <c r="AK31" s="456">
        <f t="shared" si="3"/>
        <v>8.985714285714284</v>
      </c>
      <c r="AL31" s="456">
        <f t="shared" si="3"/>
        <v>9.2035714285714274</v>
      </c>
      <c r="AM31" s="456">
        <f t="shared" si="3"/>
        <v>9.4214285714285708</v>
      </c>
      <c r="AN31" s="456">
        <f t="shared" si="3"/>
        <v>9.6392857142857142</v>
      </c>
      <c r="AO31" s="456">
        <f t="shared" si="3"/>
        <v>9.8571428571428577</v>
      </c>
      <c r="AP31" s="456">
        <f t="shared" si="3"/>
        <v>10.075000000000001</v>
      </c>
      <c r="AQ31" s="456">
        <f t="shared" si="3"/>
        <v>10.292857142857144</v>
      </c>
      <c r="AR31" s="456">
        <f t="shared" si="3"/>
        <v>10.510714285714288</v>
      </c>
      <c r="AS31" s="456">
        <f t="shared" si="3"/>
        <v>10.728571428571431</v>
      </c>
      <c r="AT31" s="456">
        <f t="shared" si="3"/>
        <v>10.946428571428575</v>
      </c>
      <c r="AU31" s="456">
        <f t="shared" si="3"/>
        <v>11.164285714285718</v>
      </c>
      <c r="AV31" s="456">
        <f t="shared" si="3"/>
        <v>11.382142857142862</v>
      </c>
      <c r="AW31" s="456">
        <f t="shared" si="3"/>
        <v>11.600000000000005</v>
      </c>
      <c r="AX31" s="456">
        <f t="shared" si="3"/>
        <v>11.817857142857148</v>
      </c>
      <c r="AY31" s="456">
        <f t="shared" si="3"/>
        <v>12.035714285714292</v>
      </c>
      <c r="AZ31" s="456">
        <f t="shared" si="3"/>
        <v>12.253571428571435</v>
      </c>
      <c r="BA31" s="456">
        <f t="shared" si="3"/>
        <v>12.471428571428579</v>
      </c>
      <c r="BB31" s="456">
        <f t="shared" ref="BB31:CG31" si="4">BA31+(Vin_max-Vin_min)/140</f>
        <v>12.689285714285722</v>
      </c>
      <c r="BC31" s="456">
        <f t="shared" si="4"/>
        <v>12.907142857142865</v>
      </c>
      <c r="BD31" s="456">
        <f t="shared" si="4"/>
        <v>13.125000000000009</v>
      </c>
      <c r="BE31" s="456">
        <f t="shared" si="4"/>
        <v>13.342857142857152</v>
      </c>
      <c r="BF31" s="456">
        <f t="shared" si="4"/>
        <v>13.560714285714296</v>
      </c>
      <c r="BG31" s="456">
        <f t="shared" si="4"/>
        <v>13.778571428571439</v>
      </c>
      <c r="BH31" s="456">
        <f t="shared" si="4"/>
        <v>13.996428571428583</v>
      </c>
      <c r="BI31" s="456">
        <f t="shared" si="4"/>
        <v>14.214285714285726</v>
      </c>
      <c r="BJ31" s="456">
        <f t="shared" si="4"/>
        <v>14.432142857142869</v>
      </c>
      <c r="BK31" s="456">
        <f t="shared" si="4"/>
        <v>14.650000000000013</v>
      </c>
      <c r="BL31" s="456">
        <f t="shared" si="4"/>
        <v>14.867857142857156</v>
      </c>
      <c r="BM31" s="456">
        <f t="shared" si="4"/>
        <v>15.0857142857143</v>
      </c>
      <c r="BN31" s="456">
        <f t="shared" si="4"/>
        <v>15.303571428571443</v>
      </c>
      <c r="BO31" s="456">
        <f t="shared" si="4"/>
        <v>15.521428571428586</v>
      </c>
      <c r="BP31" s="456">
        <f t="shared" si="4"/>
        <v>15.73928571428573</v>
      </c>
      <c r="BQ31" s="456">
        <f t="shared" si="4"/>
        <v>15.957142857142873</v>
      </c>
      <c r="BR31" s="456">
        <f t="shared" si="4"/>
        <v>16.175000000000015</v>
      </c>
      <c r="BS31" s="456">
        <f t="shared" si="4"/>
        <v>16.392857142857157</v>
      </c>
      <c r="BT31" s="456">
        <f t="shared" si="4"/>
        <v>16.610714285714298</v>
      </c>
      <c r="BU31" s="456">
        <f t="shared" si="4"/>
        <v>16.82857142857144</v>
      </c>
      <c r="BV31" s="456">
        <f t="shared" si="4"/>
        <v>17.046428571428581</v>
      </c>
      <c r="BW31" s="456">
        <f t="shared" si="4"/>
        <v>17.264285714285723</v>
      </c>
      <c r="BX31" s="456">
        <f t="shared" si="4"/>
        <v>17.482142857142865</v>
      </c>
      <c r="BY31" s="456">
        <f t="shared" si="4"/>
        <v>17.700000000000006</v>
      </c>
      <c r="BZ31" s="456">
        <f t="shared" si="4"/>
        <v>17.917857142857148</v>
      </c>
      <c r="CA31" s="456">
        <f t="shared" si="4"/>
        <v>18.13571428571429</v>
      </c>
      <c r="CB31" s="456">
        <f t="shared" si="4"/>
        <v>18.353571428571431</v>
      </c>
      <c r="CC31" s="456">
        <f t="shared" si="4"/>
        <v>18.571428571428573</v>
      </c>
      <c r="CD31" s="456">
        <f t="shared" si="4"/>
        <v>18.789285714285715</v>
      </c>
      <c r="CE31" s="456">
        <f t="shared" si="4"/>
        <v>19.007142857142856</v>
      </c>
      <c r="CF31" s="456">
        <f t="shared" si="4"/>
        <v>19.224999999999998</v>
      </c>
      <c r="CG31" s="456">
        <f t="shared" si="4"/>
        <v>19.44285714285714</v>
      </c>
      <c r="CH31" s="456">
        <f t="shared" ref="CH31:DM31" si="5">CG31+(Vin_max-Vin_min)/140</f>
        <v>19.660714285714281</v>
      </c>
      <c r="CI31" s="456">
        <f t="shared" si="5"/>
        <v>19.878571428571423</v>
      </c>
      <c r="CJ31" s="456">
        <f t="shared" si="5"/>
        <v>20.096428571428564</v>
      </c>
      <c r="CK31" s="456">
        <f t="shared" si="5"/>
        <v>20.314285714285706</v>
      </c>
      <c r="CL31" s="456">
        <f t="shared" si="5"/>
        <v>20.532142857142848</v>
      </c>
      <c r="CM31" s="456">
        <f t="shared" si="5"/>
        <v>20.749999999999989</v>
      </c>
      <c r="CN31" s="456">
        <f t="shared" si="5"/>
        <v>20.967857142857131</v>
      </c>
      <c r="CO31" s="456">
        <f t="shared" si="5"/>
        <v>21.185714285714273</v>
      </c>
      <c r="CP31" s="456">
        <f t="shared" si="5"/>
        <v>21.403571428571414</v>
      </c>
      <c r="CQ31" s="456">
        <f t="shared" si="5"/>
        <v>21.621428571428556</v>
      </c>
      <c r="CR31" s="456">
        <f t="shared" si="5"/>
        <v>21.839285714285698</v>
      </c>
      <c r="CS31" s="456">
        <f t="shared" si="5"/>
        <v>22.057142857142839</v>
      </c>
      <c r="CT31" s="456">
        <f t="shared" si="5"/>
        <v>22.274999999999981</v>
      </c>
      <c r="CU31" s="456">
        <f t="shared" si="5"/>
        <v>22.492857142857122</v>
      </c>
      <c r="CV31" s="456">
        <f t="shared" si="5"/>
        <v>22.710714285714264</v>
      </c>
      <c r="CW31" s="456">
        <f t="shared" si="5"/>
        <v>22.928571428571406</v>
      </c>
      <c r="CX31" s="456">
        <f t="shared" si="5"/>
        <v>23.146428571428547</v>
      </c>
      <c r="CY31" s="456">
        <f t="shared" si="5"/>
        <v>23.364285714285689</v>
      </c>
      <c r="CZ31" s="456">
        <f t="shared" si="5"/>
        <v>23.582142857142831</v>
      </c>
      <c r="DA31" s="456">
        <f t="shared" si="5"/>
        <v>23.799999999999972</v>
      </c>
      <c r="DB31" s="456">
        <f t="shared" si="5"/>
        <v>24.017857142857114</v>
      </c>
      <c r="DC31" s="456">
        <f t="shared" si="5"/>
        <v>24.235714285714256</v>
      </c>
      <c r="DD31" s="456">
        <f t="shared" si="5"/>
        <v>24.453571428571397</v>
      </c>
      <c r="DE31" s="456">
        <f t="shared" si="5"/>
        <v>24.671428571428539</v>
      </c>
      <c r="DF31" s="456">
        <f t="shared" si="5"/>
        <v>24.88928571428568</v>
      </c>
      <c r="DG31" s="456">
        <f t="shared" si="5"/>
        <v>25.107142857142822</v>
      </c>
      <c r="DH31" s="456">
        <f t="shared" si="5"/>
        <v>25.324999999999964</v>
      </c>
      <c r="DI31" s="456">
        <f t="shared" si="5"/>
        <v>25.542857142857105</v>
      </c>
      <c r="DJ31" s="456">
        <f t="shared" si="5"/>
        <v>25.760714285714247</v>
      </c>
      <c r="DK31" s="456">
        <f t="shared" si="5"/>
        <v>25.978571428571389</v>
      </c>
      <c r="DL31" s="456">
        <f t="shared" si="5"/>
        <v>26.19642857142853</v>
      </c>
      <c r="DM31" s="456">
        <f t="shared" si="5"/>
        <v>26.414285714285672</v>
      </c>
      <c r="DN31" s="456">
        <f t="shared" ref="DN31:ES31" si="6">DM31+(Vin_max-Vin_min)/140</f>
        <v>26.632142857142814</v>
      </c>
      <c r="DO31" s="456">
        <f t="shared" si="6"/>
        <v>26.849999999999955</v>
      </c>
      <c r="DP31" s="456">
        <f t="shared" si="6"/>
        <v>27.067857142857097</v>
      </c>
      <c r="DQ31" s="456">
        <f t="shared" si="6"/>
        <v>27.285714285714239</v>
      </c>
      <c r="DR31" s="456">
        <f t="shared" si="6"/>
        <v>27.50357142857138</v>
      </c>
      <c r="DS31" s="456">
        <f t="shared" si="6"/>
        <v>27.721428571428522</v>
      </c>
      <c r="DT31" s="456">
        <f t="shared" si="6"/>
        <v>27.939285714285663</v>
      </c>
      <c r="DU31" s="456">
        <f t="shared" si="6"/>
        <v>28.157142857142805</v>
      </c>
      <c r="DV31" s="456">
        <f t="shared" si="6"/>
        <v>28.374999999999947</v>
      </c>
      <c r="DW31" s="456">
        <f t="shared" si="6"/>
        <v>28.592857142857088</v>
      </c>
      <c r="DX31" s="456">
        <f t="shared" si="6"/>
        <v>28.81071428571423</v>
      </c>
      <c r="DY31" s="456">
        <f t="shared" si="6"/>
        <v>29.028571428571372</v>
      </c>
      <c r="DZ31" s="456">
        <f t="shared" si="6"/>
        <v>29.246428571428513</v>
      </c>
      <c r="EA31" s="456">
        <f t="shared" si="6"/>
        <v>29.464285714285655</v>
      </c>
      <c r="EB31" s="456">
        <f t="shared" si="6"/>
        <v>29.682142857142797</v>
      </c>
      <c r="EC31" s="456">
        <f t="shared" si="6"/>
        <v>29.899999999999938</v>
      </c>
      <c r="ED31" s="456">
        <f t="shared" si="6"/>
        <v>30.11785714285708</v>
      </c>
      <c r="EE31" s="456">
        <f t="shared" si="6"/>
        <v>30.335714285714221</v>
      </c>
      <c r="EF31" s="456">
        <f t="shared" si="6"/>
        <v>30.553571428571363</v>
      </c>
      <c r="EG31" s="456">
        <f t="shared" si="6"/>
        <v>30.771428571428505</v>
      </c>
      <c r="EH31" s="456">
        <f t="shared" si="6"/>
        <v>30.989285714285646</v>
      </c>
      <c r="EI31" s="456">
        <f t="shared" si="6"/>
        <v>31.207142857142788</v>
      </c>
      <c r="EJ31" s="456">
        <f t="shared" si="6"/>
        <v>31.42499999999993</v>
      </c>
      <c r="EK31" s="456">
        <f t="shared" si="6"/>
        <v>31.642857142857071</v>
      </c>
      <c r="EL31" s="456">
        <f t="shared" si="6"/>
        <v>31.860714285714213</v>
      </c>
      <c r="EM31" s="456">
        <f t="shared" si="6"/>
        <v>32.078571428571358</v>
      </c>
      <c r="EN31" s="456">
        <f t="shared" si="6"/>
        <v>32.2964285714285</v>
      </c>
      <c r="EO31" s="456">
        <f t="shared" si="6"/>
        <v>32.514285714285641</v>
      </c>
      <c r="EP31" s="456">
        <f t="shared" si="6"/>
        <v>32.732142857142783</v>
      </c>
      <c r="EQ31" s="456">
        <f t="shared" si="6"/>
        <v>32.949999999999925</v>
      </c>
      <c r="ER31" s="456">
        <f t="shared" si="6"/>
        <v>33.167857142857066</v>
      </c>
      <c r="ES31" s="456">
        <f t="shared" si="6"/>
        <v>33.385714285714208</v>
      </c>
      <c r="ET31" s="456">
        <f t="shared" ref="ET31:FD31" si="7">ES31+(Vin_max-Vin_min)/140</f>
        <v>33.60357142857135</v>
      </c>
      <c r="EU31" s="456">
        <f t="shared" si="7"/>
        <v>33.821428571428491</v>
      </c>
      <c r="EV31" s="456">
        <f t="shared" si="7"/>
        <v>34.039285714285633</v>
      </c>
      <c r="EW31" s="456">
        <f t="shared" si="7"/>
        <v>34.257142857142775</v>
      </c>
      <c r="EX31" s="456">
        <f t="shared" si="7"/>
        <v>34.474999999999916</v>
      </c>
      <c r="EY31" s="456">
        <f t="shared" si="7"/>
        <v>34.692857142857058</v>
      </c>
      <c r="EZ31" s="456">
        <f t="shared" si="7"/>
        <v>34.910714285714199</v>
      </c>
      <c r="FA31" s="456">
        <f t="shared" si="7"/>
        <v>35.128571428571341</v>
      </c>
      <c r="FB31" s="456">
        <f t="shared" si="7"/>
        <v>35.346428571428483</v>
      </c>
      <c r="FC31" s="456">
        <f t="shared" si="7"/>
        <v>35.564285714285624</v>
      </c>
      <c r="FD31" s="456">
        <f t="shared" si="7"/>
        <v>35.782142857142766</v>
      </c>
      <c r="FE31" s="456">
        <f>FD31+(Vin_max-Vin_min)/140</f>
        <v>35.999999999999908</v>
      </c>
      <c r="FF31" s="455"/>
    </row>
    <row r="32" spans="1:162" ht="18" customHeight="1" thickBot="1" x14ac:dyDescent="0.3">
      <c r="A32" s="38" t="s">
        <v>47</v>
      </c>
      <c r="B32" s="333">
        <f>1000/((1/Constants!C5*1000)-(1/Design!B30*1000))</f>
        <v>4.2857142857142856</v>
      </c>
      <c r="C32" s="333"/>
      <c r="D32" s="229" t="s">
        <v>251</v>
      </c>
      <c r="E32" s="12" t="s">
        <v>248</v>
      </c>
      <c r="F32" s="10"/>
      <c r="G32" s="10"/>
      <c r="H32" s="10"/>
      <c r="I32" s="39"/>
      <c r="R32" s="439"/>
      <c r="S32" s="439"/>
      <c r="T32" s="455"/>
      <c r="U32" s="455"/>
      <c r="V32" s="455"/>
      <c r="W32" s="455"/>
      <c r="X32" s="455"/>
      <c r="Y32" s="455"/>
      <c r="Z32" s="455"/>
      <c r="AA32" s="455"/>
      <c r="AB32" s="455"/>
      <c r="AC32" s="455"/>
      <c r="AD32" s="455"/>
      <c r="AE32" s="455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55"/>
      <c r="AR32" s="455"/>
      <c r="AS32" s="455"/>
      <c r="AT32" s="455"/>
      <c r="AU32" s="455"/>
      <c r="AV32" s="455"/>
      <c r="AW32" s="455"/>
      <c r="AX32" s="455"/>
      <c r="AY32" s="455"/>
      <c r="AZ32" s="455"/>
      <c r="BA32" s="455"/>
      <c r="BB32" s="455"/>
      <c r="BC32" s="455"/>
      <c r="BD32" s="455"/>
      <c r="BE32" s="455"/>
      <c r="BF32" s="455"/>
      <c r="BG32" s="455"/>
      <c r="BH32" s="455"/>
      <c r="BI32" s="455"/>
      <c r="BJ32" s="455"/>
      <c r="BK32" s="455"/>
      <c r="BL32" s="455"/>
      <c r="BM32" s="455"/>
      <c r="BN32" s="455"/>
      <c r="BO32" s="455"/>
      <c r="BP32" s="455"/>
      <c r="BQ32" s="455"/>
      <c r="BR32" s="455"/>
      <c r="BS32" s="455"/>
      <c r="BT32" s="455"/>
      <c r="BU32" s="455"/>
      <c r="BV32" s="455"/>
      <c r="BW32" s="455"/>
      <c r="BX32" s="455"/>
      <c r="BY32" s="455"/>
      <c r="BZ32" s="455"/>
      <c r="CA32" s="455"/>
      <c r="CB32" s="455"/>
      <c r="CC32" s="455"/>
      <c r="CD32" s="455"/>
      <c r="CE32" s="455"/>
      <c r="CF32" s="455"/>
      <c r="CG32" s="455"/>
      <c r="CH32" s="455"/>
      <c r="CI32" s="455"/>
      <c r="CJ32" s="455"/>
      <c r="CK32" s="455"/>
      <c r="CL32" s="455"/>
      <c r="CM32" s="455"/>
      <c r="CN32" s="455"/>
      <c r="CO32" s="455"/>
      <c r="CP32" s="455"/>
      <c r="CQ32" s="455"/>
      <c r="CR32" s="455"/>
      <c r="CS32" s="455"/>
      <c r="CT32" s="455"/>
      <c r="CU32" s="455"/>
      <c r="CV32" s="455"/>
      <c r="CW32" s="455"/>
      <c r="CX32" s="455"/>
      <c r="CY32" s="455"/>
      <c r="CZ32" s="455"/>
      <c r="DA32" s="455"/>
      <c r="DB32" s="455"/>
      <c r="DC32" s="455"/>
      <c r="DD32" s="455"/>
      <c r="DE32" s="455"/>
      <c r="DF32" s="455"/>
      <c r="DG32" s="455"/>
      <c r="DH32" s="455"/>
      <c r="DI32" s="455"/>
      <c r="DJ32" s="455"/>
      <c r="DK32" s="455"/>
      <c r="DL32" s="455"/>
      <c r="DM32" s="455"/>
      <c r="DN32" s="455"/>
      <c r="DO32" s="455"/>
      <c r="DP32" s="455"/>
      <c r="DQ32" s="455"/>
      <c r="DR32" s="455"/>
      <c r="DS32" s="455"/>
      <c r="DT32" s="455"/>
      <c r="DU32" s="455"/>
      <c r="DV32" s="455"/>
      <c r="DW32" s="455"/>
      <c r="DX32" s="455"/>
      <c r="DY32" s="455"/>
      <c r="DZ32" s="455"/>
      <c r="EA32" s="455"/>
      <c r="EB32" s="455"/>
      <c r="EC32" s="455"/>
      <c r="ED32" s="455"/>
      <c r="EE32" s="455"/>
      <c r="EF32" s="455"/>
      <c r="EG32" s="455"/>
      <c r="EH32" s="455"/>
      <c r="EI32" s="455"/>
      <c r="EJ32" s="455"/>
      <c r="EK32" s="455"/>
      <c r="EL32" s="455"/>
      <c r="EM32" s="455"/>
      <c r="EN32" s="455"/>
      <c r="EO32" s="455"/>
      <c r="EP32" s="455"/>
      <c r="EQ32" s="455"/>
      <c r="ER32" s="455"/>
      <c r="ES32" s="455"/>
      <c r="ET32" s="455"/>
      <c r="EU32" s="455"/>
      <c r="EV32" s="455"/>
      <c r="EW32" s="455"/>
      <c r="EX32" s="455"/>
      <c r="EY32" s="455"/>
      <c r="EZ32" s="455"/>
      <c r="FA32" s="455"/>
      <c r="FB32" s="455"/>
      <c r="FC32" s="455"/>
      <c r="FD32" s="455"/>
      <c r="FE32" s="455"/>
      <c r="FF32" s="455"/>
    </row>
    <row r="33" spans="1:162" ht="18" customHeight="1" thickBot="1" x14ac:dyDescent="0.3">
      <c r="A33" s="81" t="s">
        <v>49</v>
      </c>
      <c r="B33" s="325">
        <v>4.29</v>
      </c>
      <c r="C33" s="326"/>
      <c r="D33" s="83" t="s">
        <v>251</v>
      </c>
      <c r="E33" s="12" t="s">
        <v>247</v>
      </c>
      <c r="F33" s="10"/>
      <c r="G33" s="10"/>
      <c r="H33" s="10"/>
      <c r="I33" s="39"/>
      <c r="R33" s="439"/>
      <c r="S33" s="439"/>
      <c r="T33" s="455" t="s">
        <v>328</v>
      </c>
      <c r="U33" s="457">
        <f t="shared" ref="U33:AZ33" ca="1" si="8">IF(U31&lt;=Vin_mode,((U34-1)*(Vout_typ+VF)-VF-(U37-U36/2)*(U34*U45/1000+LoDCR/1000))/((U37-U36/2)*U44/1000-U31-VF),(Vout_typ+2*VF+(U37-U36/2)*LoDCR/1000)/(U31+VF-(U37-U36/2)*U44/1000))</f>
        <v>0.91049106798564106</v>
      </c>
      <c r="V33" s="457">
        <f t="shared" ca="1" si="8"/>
        <v>0.90229869545294661</v>
      </c>
      <c r="W33" s="457">
        <f t="shared" ca="1" si="8"/>
        <v>0.89523978772729051</v>
      </c>
      <c r="X33" s="457">
        <f t="shared" ca="1" si="8"/>
        <v>0.88909780281569162</v>
      </c>
      <c r="Y33" s="457">
        <f t="shared" ca="1" si="8"/>
        <v>0.88370905397554134</v>
      </c>
      <c r="Z33" s="457">
        <f t="shared" ca="1" si="8"/>
        <v>0.87894715978766536</v>
      </c>
      <c r="AA33" s="457">
        <f t="shared" ca="1" si="8"/>
        <v>0.87471278270133812</v>
      </c>
      <c r="AB33" s="457">
        <f t="shared" ca="1" si="8"/>
        <v>0.87092663888615318</v>
      </c>
      <c r="AC33" s="457">
        <f t="shared" ca="1" si="8"/>
        <v>0.8675246061946168</v>
      </c>
      <c r="AD33" s="457">
        <f t="shared" ca="1" si="8"/>
        <v>0.86445422000473882</v>
      </c>
      <c r="AE33" s="457">
        <f t="shared" ca="1" si="8"/>
        <v>0.8616721119640024</v>
      </c>
      <c r="AF33" s="457">
        <f t="shared" ca="1" si="8"/>
        <v>0.85914210441994721</v>
      </c>
      <c r="AG33" s="457">
        <f t="shared" ca="1" si="8"/>
        <v>0.85683377025689123</v>
      </c>
      <c r="AH33" s="457">
        <f t="shared" ca="1" si="8"/>
        <v>0.85472132914238363</v>
      </c>
      <c r="AI33" s="457">
        <f t="shared" ca="1" si="8"/>
        <v>0.8527827909241209</v>
      </c>
      <c r="AJ33" s="457">
        <f t="shared" ca="1" si="8"/>
        <v>0.85099928327151364</v>
      </c>
      <c r="AK33" s="457">
        <f t="shared" ca="1" si="8"/>
        <v>0.84935451849080912</v>
      </c>
      <c r="AL33" s="457">
        <f t="shared" ca="1" si="8"/>
        <v>0.84783436673474544</v>
      </c>
      <c r="AM33" s="457">
        <f t="shared" ca="1" si="8"/>
        <v>0.84642651144120817</v>
      </c>
      <c r="AN33" s="457">
        <f t="shared" ca="1" si="8"/>
        <v>0.84512016896290865</v>
      </c>
      <c r="AO33" s="457">
        <f t="shared" ca="1" si="8"/>
        <v>0.84390585876976809</v>
      </c>
      <c r="AP33" s="457">
        <f t="shared" ca="1" si="8"/>
        <v>0.84277521383422382</v>
      </c>
      <c r="AQ33" s="457">
        <f t="shared" ca="1" si="8"/>
        <v>0.84172082319575137</v>
      </c>
      <c r="AR33" s="457">
        <f t="shared" ca="1" si="8"/>
        <v>0.84073610048353564</v>
      </c>
      <c r="AS33" s="457">
        <f t="shared" ca="1" si="8"/>
        <v>0.83981517352143753</v>
      </c>
      <c r="AT33" s="457">
        <f t="shared" ca="1" si="8"/>
        <v>0.83895279116398636</v>
      </c>
      <c r="AU33" s="457">
        <f t="shared" ca="1" si="8"/>
        <v>0.83814424429936252</v>
      </c>
      <c r="AV33" s="457">
        <f t="shared" ca="1" si="8"/>
        <v>0.83738529856505195</v>
      </c>
      <c r="AW33" s="457">
        <f t="shared" ca="1" si="8"/>
        <v>0.83667213679775865</v>
      </c>
      <c r="AX33" s="457">
        <f t="shared" ca="1" si="8"/>
        <v>0.83600130961320862</v>
      </c>
      <c r="AY33" s="457">
        <f t="shared" ca="1" si="8"/>
        <v>0.8353593947664183</v>
      </c>
      <c r="AZ33" s="457">
        <f t="shared" ca="1" si="8"/>
        <v>0.83471606330193482</v>
      </c>
      <c r="BA33" s="457">
        <f t="shared" ref="BA33:CF33" ca="1" si="9">IF(BA31&lt;=Vin_mode,((BA34-1)*(Vout_typ+VF)-VF-(BA37-BA36/2)*(BA34*BA45/1000+LoDCR/1000))/((BA37-BA36/2)*BA44/1000-BA31-VF),(Vout_typ+2*VF+(BA37-BA36/2)*LoDCR/1000)/(BA31+VF-(BA37-BA36/2)*BA44/1000))</f>
        <v>0.83410611548434921</v>
      </c>
      <c r="BB33" s="457">
        <f t="shared" ca="1" si="9"/>
        <v>0.83352721540875618</v>
      </c>
      <c r="BC33" s="457">
        <f t="shared" ca="1" si="9"/>
        <v>0.83297723189228234</v>
      </c>
      <c r="BD33" s="457">
        <f t="shared" ca="1" si="9"/>
        <v>0.83245421697470501</v>
      </c>
      <c r="BE33" s="457">
        <f t="shared" ca="1" si="9"/>
        <v>0.83195638704494557</v>
      </c>
      <c r="BF33" s="457">
        <f t="shared" ca="1" si="9"/>
        <v>0.83148210622844532</v>
      </c>
      <c r="BG33" s="457">
        <f t="shared" ca="1" si="9"/>
        <v>0.83102987172721643</v>
      </c>
      <c r="BH33" s="457">
        <f t="shared" ca="1" si="9"/>
        <v>0.83059830085139041</v>
      </c>
      <c r="BI33" s="457">
        <f t="shared" ca="1" si="9"/>
        <v>0.83018611952018229</v>
      </c>
      <c r="BJ33" s="457">
        <f t="shared" ca="1" si="9"/>
        <v>0.82979215204282775</v>
      </c>
      <c r="BK33" s="457">
        <f t="shared" ca="1" si="9"/>
        <v>0.8294153120173815</v>
      </c>
      <c r="BL33" s="457">
        <f t="shared" ca="1" si="9"/>
        <v>0.82905459420825112</v>
      </c>
      <c r="BM33" s="457">
        <f t="shared" ca="1" si="9"/>
        <v>0.82870906728271276</v>
      </c>
      <c r="BN33" s="457">
        <f t="shared" ca="1" si="9"/>
        <v>0.82290317703892102</v>
      </c>
      <c r="BO33" s="457">
        <f t="shared" ca="1" si="9"/>
        <v>0.81156101027152683</v>
      </c>
      <c r="BP33" s="457">
        <f t="shared" ca="1" si="9"/>
        <v>0.80052733225887818</v>
      </c>
      <c r="BQ33" s="457">
        <f t="shared" ca="1" si="9"/>
        <v>0.78978972418852522</v>
      </c>
      <c r="BR33" s="457">
        <f t="shared" ca="1" si="9"/>
        <v>0.77933642513353085</v>
      </c>
      <c r="BS33" s="457">
        <f t="shared" ca="1" si="9"/>
        <v>0.76915628904870403</v>
      </c>
      <c r="BT33" s="457">
        <f t="shared" ca="1" si="9"/>
        <v>0.75923874509730349</v>
      </c>
      <c r="BU33" s="457">
        <f t="shared" ca="1" si="9"/>
        <v>0.74957376101104067</v>
      </c>
      <c r="BV33" s="457">
        <f t="shared" ca="1" si="9"/>
        <v>0.74015180921615442</v>
      </c>
      <c r="BW33" s="457">
        <f t="shared" ca="1" si="9"/>
        <v>0.73096383548489641</v>
      </c>
      <c r="BX33" s="457">
        <f t="shared" ca="1" si="9"/>
        <v>0.72200122989541948</v>
      </c>
      <c r="BY33" s="457">
        <f t="shared" ca="1" si="9"/>
        <v>0.71325579990411259</v>
      </c>
      <c r="BZ33" s="457">
        <f t="shared" ca="1" si="9"/>
        <v>0.70471974535321691</v>
      </c>
      <c r="CA33" s="457">
        <f t="shared" ca="1" si="9"/>
        <v>0.69638517196567817</v>
      </c>
      <c r="CB33" s="457">
        <f t="shared" ca="1" si="9"/>
        <v>0.68824518426648273</v>
      </c>
      <c r="CC33" s="457">
        <f t="shared" ca="1" si="9"/>
        <v>0.68029330771774044</v>
      </c>
      <c r="CD33" s="457">
        <f t="shared" ca="1" si="9"/>
        <v>0.672523094953692</v>
      </c>
      <c r="CE33" s="457">
        <f t="shared" ca="1" si="9"/>
        <v>0.66492838995281933</v>
      </c>
      <c r="CF33" s="457">
        <f t="shared" ca="1" si="9"/>
        <v>0.6575033117630763</v>
      </c>
      <c r="CG33" s="457">
        <f t="shared" ref="CG33:DL33" ca="1" si="10">IF(CG31&lt;=Vin_mode,((CG34-1)*(Vout_typ+VF)-VF-(CG37-CG36/2)*(CG34*CG45/1000+LoDCR/1000))/((CG37-CG36/2)*CG44/1000-CG31-VF),(Vout_typ+2*VF+(CG37-CG36/2)*LoDCR/1000)/(CG31+VF-(CG37-CG36/2)*CG44/1000))</f>
        <v>0.65024223930615466</v>
      </c>
      <c r="CH33" s="457">
        <f t="shared" ca="1" si="10"/>
        <v>0.64313979717822101</v>
      </c>
      <c r="CI33" s="457">
        <f t="shared" ca="1" si="10"/>
        <v>0.63619084237170498</v>
      </c>
      <c r="CJ33" s="457">
        <f t="shared" ca="1" si="10"/>
        <v>0.62939045184917208</v>
      </c>
      <c r="CK33" s="457">
        <f t="shared" ca="1" si="10"/>
        <v>0.62273391090615415</v>
      </c>
      <c r="CL33" s="457">
        <f t="shared" ca="1" si="10"/>
        <v>0.61621670226510461</v>
      </c>
      <c r="CM33" s="457">
        <f t="shared" ca="1" si="10"/>
        <v>0.60983449584743377</v>
      </c>
      <c r="CN33" s="457">
        <f t="shared" ca="1" si="10"/>
        <v>0.60358313917493955</v>
      </c>
      <c r="CO33" s="457">
        <f t="shared" ca="1" si="10"/>
        <v>0.59745864835590123</v>
      </c>
      <c r="CP33" s="457">
        <f t="shared" ca="1" si="10"/>
        <v>0.59145719961469956</v>
      </c>
      <c r="CQ33" s="457">
        <f t="shared" ca="1" si="10"/>
        <v>0.58557512132710543</v>
      </c>
      <c r="CR33" s="457">
        <f t="shared" ca="1" si="10"/>
        <v>0.57980888652635987</v>
      </c>
      <c r="CS33" s="457">
        <f t="shared" ca="1" si="10"/>
        <v>0.57415510584789409</v>
      </c>
      <c r="CT33" s="457">
        <f t="shared" ca="1" si="10"/>
        <v>0.56861052088302055</v>
      </c>
      <c r="CU33" s="457">
        <f t="shared" ca="1" si="10"/>
        <v>0.56317199791420092</v>
      </c>
      <c r="CV33" s="457">
        <f t="shared" ca="1" si="10"/>
        <v>0.55783652200657063</v>
      </c>
      <c r="CW33" s="457">
        <f t="shared" ca="1" si="10"/>
        <v>0.55260119143230679</v>
      </c>
      <c r="CX33" s="457">
        <f t="shared" ca="1" si="10"/>
        <v>0.54746321240616269</v>
      </c>
      <c r="CY33" s="457">
        <f t="shared" ca="1" si="10"/>
        <v>0.54241989411209668</v>
      </c>
      <c r="CZ33" s="457">
        <f t="shared" ca="1" si="10"/>
        <v>0.53746864400238525</v>
      </c>
      <c r="DA33" s="457">
        <f t="shared" ca="1" si="10"/>
        <v>0.53260696335195978</v>
      </c>
      <c r="DB33" s="457">
        <f t="shared" ca="1" si="10"/>
        <v>0.5278324430519451</v>
      </c>
      <c r="DC33" s="457">
        <f t="shared" ca="1" si="10"/>
        <v>0.52314275962751478</v>
      </c>
      <c r="DD33" s="457">
        <f t="shared" ca="1" si="10"/>
        <v>0.51853567146623225</v>
      </c>
      <c r="DE33" s="457">
        <f t="shared" ca="1" si="10"/>
        <v>0.51400901524400755</v>
      </c>
      <c r="DF33" s="457">
        <f t="shared" ca="1" si="10"/>
        <v>0.50956070253669428</v>
      </c>
      <c r="DG33" s="457">
        <f t="shared" ca="1" si="10"/>
        <v>0.5051887166061747</v>
      </c>
      <c r="DH33" s="457">
        <f t="shared" ca="1" si="10"/>
        <v>0.50089110935053627</v>
      </c>
      <c r="DI33" s="457">
        <f t="shared" ca="1" si="10"/>
        <v>0.49666599840864939</v>
      </c>
      <c r="DJ33" s="457">
        <f t="shared" ca="1" si="10"/>
        <v>0.49251156441009974</v>
      </c>
      <c r="DK33" s="457">
        <f t="shared" ca="1" si="10"/>
        <v>0.48842604836203585</v>
      </c>
      <c r="DL33" s="457">
        <f t="shared" ca="1" si="10"/>
        <v>0.48440774916504092</v>
      </c>
      <c r="DM33" s="457">
        <f t="shared" ref="DM33:ER33" ca="1" si="11">IF(DM31&lt;=Vin_mode,((DM34-1)*(Vout_typ+VF)-VF-(DM37-DM36/2)*(DM34*DM45/1000+LoDCR/1000))/((DM37-DM36/2)*DM44/1000-DM31-VF),(Vout_typ+2*VF+(DM37-DM36/2)*LoDCR/1000)/(DM31+VF-(DM37-DM36/2)*DM44/1000))</f>
        <v>0.48045502125065886</v>
      </c>
      <c r="DN33" s="457">
        <f t="shared" ca="1" si="11"/>
        <v>0.47656627233367882</v>
      </c>
      <c r="DO33" s="457">
        <f t="shared" ca="1" si="11"/>
        <v>0.4727399612727276</v>
      </c>
      <c r="DP33" s="457">
        <f t="shared" ca="1" si="11"/>
        <v>0.46897459603312791</v>
      </c>
      <c r="DQ33" s="457">
        <f t="shared" ca="1" si="11"/>
        <v>0.46526873174636552</v>
      </c>
      <c r="DR33" s="457">
        <f t="shared" ca="1" si="11"/>
        <v>0.46162096886086146</v>
      </c>
      <c r="DS33" s="457">
        <f t="shared" ca="1" si="11"/>
        <v>0.45802995137907548</v>
      </c>
      <c r="DT33" s="457">
        <f t="shared" ca="1" si="11"/>
        <v>0.45449436517627567</v>
      </c>
      <c r="DU33" s="457">
        <f t="shared" ca="1" si="11"/>
        <v>0.45101293639659379</v>
      </c>
      <c r="DV33" s="457">
        <f t="shared" ca="1" si="11"/>
        <v>0.44758442992225211</v>
      </c>
      <c r="DW33" s="457">
        <f t="shared" ca="1" si="11"/>
        <v>0.44420764791209827</v>
      </c>
      <c r="DX33" s="457">
        <f t="shared" ca="1" si="11"/>
        <v>0.44088142840581279</v>
      </c>
      <c r="DY33" s="457">
        <f t="shared" ca="1" si="11"/>
        <v>0.43760464399037285</v>
      </c>
      <c r="DZ33" s="457">
        <f t="shared" ca="1" si="11"/>
        <v>0.43437620052555664</v>
      </c>
      <c r="EA33" s="457">
        <f t="shared" ca="1" si="11"/>
        <v>0.43119503592545977</v>
      </c>
      <c r="EB33" s="457">
        <f t="shared" ca="1" si="11"/>
        <v>0.42806011899317531</v>
      </c>
      <c r="EC33" s="457">
        <f t="shared" ca="1" si="11"/>
        <v>0.42497044830594749</v>
      </c>
      <c r="ED33" s="457">
        <f t="shared" ca="1" si="11"/>
        <v>0.42192505114826967</v>
      </c>
      <c r="EE33" s="457">
        <f t="shared" ca="1" si="11"/>
        <v>0.41892298249053717</v>
      </c>
      <c r="EF33" s="457">
        <f t="shared" ca="1" si="11"/>
        <v>0.41596332401100139</v>
      </c>
      <c r="EG33" s="457">
        <f t="shared" ca="1" si="11"/>
        <v>0.41304518315889938</v>
      </c>
      <c r="EH33" s="457">
        <f t="shared" ca="1" si="11"/>
        <v>0.41016769225675032</v>
      </c>
      <c r="EI33" s="457">
        <f t="shared" ca="1" si="11"/>
        <v>0.40733000763992211</v>
      </c>
      <c r="EJ33" s="457">
        <f t="shared" ca="1" si="11"/>
        <v>0.4045313088316751</v>
      </c>
      <c r="EK33" s="457">
        <f t="shared" ca="1" si="11"/>
        <v>0.40177079775198893</v>
      </c>
      <c r="EL33" s="457">
        <f t="shared" ca="1" si="11"/>
        <v>0.39904769795856859</v>
      </c>
      <c r="EM33" s="457">
        <f t="shared" ca="1" si="11"/>
        <v>0.39636125391851473</v>
      </c>
      <c r="EN33" s="457">
        <f t="shared" ca="1" si="11"/>
        <v>0.39371073030922099</v>
      </c>
      <c r="EO33" s="457">
        <f t="shared" ca="1" si="11"/>
        <v>0.39109541134714126</v>
      </c>
      <c r="EP33" s="457">
        <f t="shared" ca="1" si="11"/>
        <v>0.38851460014313877</v>
      </c>
      <c r="EQ33" s="457">
        <f t="shared" ca="1" si="11"/>
        <v>0.38596761808319663</v>
      </c>
      <c r="ER33" s="457">
        <f t="shared" ca="1" si="11"/>
        <v>0.38345380423333536</v>
      </c>
      <c r="ES33" s="457">
        <f t="shared" ref="ES33:FE33" ca="1" si="12">IF(ES31&lt;=Vin_mode,((ES34-1)*(Vout_typ+VF)-VF-(ES37-ES36/2)*(ES34*ES45/1000+LoDCR/1000))/((ES37-ES36/2)*ES44/1000-ES31-VF),(Vout_typ+2*VF+(ES37-ES36/2)*LoDCR/1000)/(ES31+VF-(ES37-ES36/2)*ES44/1000))</f>
        <v>0.38097251476763944</v>
      </c>
      <c r="ET33" s="457">
        <f t="shared" ca="1" si="12"/>
        <v>0.37852312241835523</v>
      </c>
      <c r="EU33" s="457">
        <f t="shared" ca="1" si="12"/>
        <v>0.37610501594707091</v>
      </c>
      <c r="EV33" s="457">
        <f t="shared" ca="1" si="12"/>
        <v>0.37371759963604451</v>
      </c>
      <c r="EW33" s="457">
        <f t="shared" ca="1" si="12"/>
        <v>0.37136029279878946</v>
      </c>
      <c r="EX33" s="457">
        <f t="shared" ca="1" si="12"/>
        <v>0.36903252930907371</v>
      </c>
      <c r="EY33" s="457">
        <f t="shared" ca="1" si="12"/>
        <v>0.36673375714752959</v>
      </c>
      <c r="EZ33" s="457">
        <f t="shared" ca="1" si="12"/>
        <v>0.36446343796511244</v>
      </c>
      <c r="FA33" s="457">
        <f t="shared" ca="1" si="12"/>
        <v>0.36222104666268257</v>
      </c>
      <c r="FB33" s="457">
        <f t="shared" ca="1" si="12"/>
        <v>0.36000607098602116</v>
      </c>
      <c r="FC33" s="457">
        <f t="shared" ca="1" si="12"/>
        <v>0.35781801113562478</v>
      </c>
      <c r="FD33" s="457">
        <f t="shared" ca="1" si="12"/>
        <v>0.35565637939065353</v>
      </c>
      <c r="FE33" s="457">
        <f t="shared" ca="1" si="12"/>
        <v>0.35352069974644007</v>
      </c>
      <c r="FF33" s="455"/>
    </row>
    <row r="34" spans="1:162" ht="18" customHeight="1" thickBot="1" x14ac:dyDescent="0.3">
      <c r="A34" s="81"/>
      <c r="B34" s="213"/>
      <c r="C34" s="213"/>
      <c r="D34" s="82"/>
      <c r="E34" s="69"/>
      <c r="F34" s="10"/>
      <c r="G34" s="10"/>
      <c r="H34" s="10"/>
      <c r="I34" s="39"/>
      <c r="R34" s="439"/>
      <c r="S34" s="439"/>
      <c r="T34" s="455" t="s">
        <v>329</v>
      </c>
      <c r="U34" s="457">
        <f t="shared" ref="U34:AZ34" si="13">MAX(0,(1-1.844*U31/RNG))</f>
        <v>0.63778571428571418</v>
      </c>
      <c r="V34" s="457">
        <f t="shared" si="13"/>
        <v>0.62343826530612245</v>
      </c>
      <c r="W34" s="457">
        <f t="shared" si="13"/>
        <v>0.60909081632653062</v>
      </c>
      <c r="X34" s="457">
        <f t="shared" si="13"/>
        <v>0.59474336734693889</v>
      </c>
      <c r="Y34" s="457">
        <f t="shared" si="13"/>
        <v>0.58039591836734705</v>
      </c>
      <c r="Z34" s="457">
        <f t="shared" si="13"/>
        <v>0.56604846938775522</v>
      </c>
      <c r="AA34" s="457">
        <f t="shared" si="13"/>
        <v>0.55170102040816338</v>
      </c>
      <c r="AB34" s="457">
        <f t="shared" si="13"/>
        <v>0.53735357142857154</v>
      </c>
      <c r="AC34" s="457">
        <f t="shared" si="13"/>
        <v>0.5230061224489797</v>
      </c>
      <c r="AD34" s="457">
        <f t="shared" si="13"/>
        <v>0.50865867346938787</v>
      </c>
      <c r="AE34" s="457">
        <f t="shared" si="13"/>
        <v>0.49431122448979614</v>
      </c>
      <c r="AF34" s="457">
        <f t="shared" si="13"/>
        <v>0.4799637755102043</v>
      </c>
      <c r="AG34" s="457">
        <f t="shared" si="13"/>
        <v>0.46561632653061247</v>
      </c>
      <c r="AH34" s="457">
        <f t="shared" si="13"/>
        <v>0.45126887755102063</v>
      </c>
      <c r="AI34" s="457">
        <f t="shared" si="13"/>
        <v>0.43692142857142868</v>
      </c>
      <c r="AJ34" s="457">
        <f t="shared" si="13"/>
        <v>0.42257397959183685</v>
      </c>
      <c r="AK34" s="457">
        <f t="shared" si="13"/>
        <v>0.40822653061224501</v>
      </c>
      <c r="AL34" s="457">
        <f t="shared" si="13"/>
        <v>0.39387908163265306</v>
      </c>
      <c r="AM34" s="457">
        <f t="shared" si="13"/>
        <v>0.37953163265306122</v>
      </c>
      <c r="AN34" s="457">
        <f t="shared" si="13"/>
        <v>0.36518418367346939</v>
      </c>
      <c r="AO34" s="457">
        <f t="shared" si="13"/>
        <v>0.35083673469387744</v>
      </c>
      <c r="AP34" s="457">
        <f t="shared" si="13"/>
        <v>0.3364892857142856</v>
      </c>
      <c r="AQ34" s="457">
        <f t="shared" si="13"/>
        <v>0.32214183673469365</v>
      </c>
      <c r="AR34" s="457">
        <f t="shared" si="13"/>
        <v>0.30779438775510193</v>
      </c>
      <c r="AS34" s="457">
        <f t="shared" si="13"/>
        <v>0.29344693877550998</v>
      </c>
      <c r="AT34" s="457">
        <f t="shared" si="13"/>
        <v>0.27909948979591814</v>
      </c>
      <c r="AU34" s="457">
        <f t="shared" si="13"/>
        <v>0.2647520408163262</v>
      </c>
      <c r="AV34" s="457">
        <f t="shared" si="13"/>
        <v>0.25040459183673447</v>
      </c>
      <c r="AW34" s="457">
        <f t="shared" si="13"/>
        <v>0.23605714285714252</v>
      </c>
      <c r="AX34" s="457">
        <f t="shared" si="13"/>
        <v>0.22170969387755068</v>
      </c>
      <c r="AY34" s="457">
        <f t="shared" si="13"/>
        <v>0.20736224489795874</v>
      </c>
      <c r="AZ34" s="457">
        <f t="shared" si="13"/>
        <v>0.19301479591836679</v>
      </c>
      <c r="BA34" s="457">
        <f t="shared" ref="BA34:CF34" si="14">MAX(0,(1-1.844*BA31/RNG))</f>
        <v>0.17866734693877506</v>
      </c>
      <c r="BB34" s="457">
        <f t="shared" si="14"/>
        <v>0.16431989795918311</v>
      </c>
      <c r="BC34" s="457">
        <f t="shared" si="14"/>
        <v>0.14997244897959128</v>
      </c>
      <c r="BD34" s="457">
        <f t="shared" si="14"/>
        <v>0.13562499999999933</v>
      </c>
      <c r="BE34" s="457">
        <f t="shared" si="14"/>
        <v>0.12127755102040749</v>
      </c>
      <c r="BF34" s="457">
        <f t="shared" si="14"/>
        <v>0.10693010204081566</v>
      </c>
      <c r="BG34" s="457">
        <f t="shared" si="14"/>
        <v>9.2582653061223819E-2</v>
      </c>
      <c r="BH34" s="457">
        <f t="shared" si="14"/>
        <v>7.8235204081631871E-2</v>
      </c>
      <c r="BI34" s="457">
        <f t="shared" si="14"/>
        <v>6.3887755102040034E-2</v>
      </c>
      <c r="BJ34" s="457">
        <f t="shared" si="14"/>
        <v>4.9540306122448086E-2</v>
      </c>
      <c r="BK34" s="457">
        <f t="shared" si="14"/>
        <v>3.5192857142856249E-2</v>
      </c>
      <c r="BL34" s="457">
        <f t="shared" si="14"/>
        <v>2.0845408163264412E-2</v>
      </c>
      <c r="BM34" s="457">
        <f t="shared" si="14"/>
        <v>6.4979591836724637E-3</v>
      </c>
      <c r="BN34" s="457">
        <f t="shared" si="14"/>
        <v>0</v>
      </c>
      <c r="BO34" s="457">
        <f t="shared" si="14"/>
        <v>0</v>
      </c>
      <c r="BP34" s="457">
        <f t="shared" si="14"/>
        <v>0</v>
      </c>
      <c r="BQ34" s="457">
        <f t="shared" si="14"/>
        <v>0</v>
      </c>
      <c r="BR34" s="457">
        <f t="shared" si="14"/>
        <v>0</v>
      </c>
      <c r="BS34" s="457">
        <f t="shared" si="14"/>
        <v>0</v>
      </c>
      <c r="BT34" s="457">
        <f t="shared" si="14"/>
        <v>0</v>
      </c>
      <c r="BU34" s="457">
        <f t="shared" si="14"/>
        <v>0</v>
      </c>
      <c r="BV34" s="457">
        <f t="shared" si="14"/>
        <v>0</v>
      </c>
      <c r="BW34" s="457">
        <f t="shared" si="14"/>
        <v>0</v>
      </c>
      <c r="BX34" s="457">
        <f t="shared" si="14"/>
        <v>0</v>
      </c>
      <c r="BY34" s="457">
        <f t="shared" si="14"/>
        <v>0</v>
      </c>
      <c r="BZ34" s="457">
        <f t="shared" si="14"/>
        <v>0</v>
      </c>
      <c r="CA34" s="457">
        <f t="shared" si="14"/>
        <v>0</v>
      </c>
      <c r="CB34" s="457">
        <f t="shared" si="14"/>
        <v>0</v>
      </c>
      <c r="CC34" s="457">
        <f t="shared" si="14"/>
        <v>0</v>
      </c>
      <c r="CD34" s="457">
        <f t="shared" si="14"/>
        <v>0</v>
      </c>
      <c r="CE34" s="457">
        <f t="shared" si="14"/>
        <v>0</v>
      </c>
      <c r="CF34" s="457">
        <f t="shared" si="14"/>
        <v>0</v>
      </c>
      <c r="CG34" s="457">
        <f t="shared" ref="CG34:DL34" si="15">MAX(0,(1-1.844*CG31/RNG))</f>
        <v>0</v>
      </c>
      <c r="CH34" s="457">
        <f t="shared" si="15"/>
        <v>0</v>
      </c>
      <c r="CI34" s="457">
        <f t="shared" si="15"/>
        <v>0</v>
      </c>
      <c r="CJ34" s="457">
        <f t="shared" si="15"/>
        <v>0</v>
      </c>
      <c r="CK34" s="457">
        <f t="shared" si="15"/>
        <v>0</v>
      </c>
      <c r="CL34" s="457">
        <f t="shared" si="15"/>
        <v>0</v>
      </c>
      <c r="CM34" s="457">
        <f t="shared" si="15"/>
        <v>0</v>
      </c>
      <c r="CN34" s="457">
        <f t="shared" si="15"/>
        <v>0</v>
      </c>
      <c r="CO34" s="457">
        <f t="shared" si="15"/>
        <v>0</v>
      </c>
      <c r="CP34" s="457">
        <f t="shared" si="15"/>
        <v>0</v>
      </c>
      <c r="CQ34" s="457">
        <f t="shared" si="15"/>
        <v>0</v>
      </c>
      <c r="CR34" s="457">
        <f t="shared" si="15"/>
        <v>0</v>
      </c>
      <c r="CS34" s="457">
        <f t="shared" si="15"/>
        <v>0</v>
      </c>
      <c r="CT34" s="457">
        <f t="shared" si="15"/>
        <v>0</v>
      </c>
      <c r="CU34" s="457">
        <f t="shared" si="15"/>
        <v>0</v>
      </c>
      <c r="CV34" s="457">
        <f t="shared" si="15"/>
        <v>0</v>
      </c>
      <c r="CW34" s="457">
        <f t="shared" si="15"/>
        <v>0</v>
      </c>
      <c r="CX34" s="457">
        <f t="shared" si="15"/>
        <v>0</v>
      </c>
      <c r="CY34" s="457">
        <f t="shared" si="15"/>
        <v>0</v>
      </c>
      <c r="CZ34" s="457">
        <f t="shared" si="15"/>
        <v>0</v>
      </c>
      <c r="DA34" s="457">
        <f t="shared" si="15"/>
        <v>0</v>
      </c>
      <c r="DB34" s="457">
        <f t="shared" si="15"/>
        <v>0</v>
      </c>
      <c r="DC34" s="457">
        <f t="shared" si="15"/>
        <v>0</v>
      </c>
      <c r="DD34" s="457">
        <f t="shared" si="15"/>
        <v>0</v>
      </c>
      <c r="DE34" s="457">
        <f t="shared" si="15"/>
        <v>0</v>
      </c>
      <c r="DF34" s="457">
        <f t="shared" si="15"/>
        <v>0</v>
      </c>
      <c r="DG34" s="457">
        <f t="shared" si="15"/>
        <v>0</v>
      </c>
      <c r="DH34" s="457">
        <f t="shared" si="15"/>
        <v>0</v>
      </c>
      <c r="DI34" s="457">
        <f t="shared" si="15"/>
        <v>0</v>
      </c>
      <c r="DJ34" s="457">
        <f t="shared" si="15"/>
        <v>0</v>
      </c>
      <c r="DK34" s="457">
        <f t="shared" si="15"/>
        <v>0</v>
      </c>
      <c r="DL34" s="457">
        <f t="shared" si="15"/>
        <v>0</v>
      </c>
      <c r="DM34" s="457">
        <f t="shared" ref="DM34:ER34" si="16">MAX(0,(1-1.844*DM31/RNG))</f>
        <v>0</v>
      </c>
      <c r="DN34" s="457">
        <f t="shared" si="16"/>
        <v>0</v>
      </c>
      <c r="DO34" s="457">
        <f t="shared" si="16"/>
        <v>0</v>
      </c>
      <c r="DP34" s="457">
        <f t="shared" si="16"/>
        <v>0</v>
      </c>
      <c r="DQ34" s="457">
        <f t="shared" si="16"/>
        <v>0</v>
      </c>
      <c r="DR34" s="457">
        <f t="shared" si="16"/>
        <v>0</v>
      </c>
      <c r="DS34" s="457">
        <f t="shared" si="16"/>
        <v>0</v>
      </c>
      <c r="DT34" s="457">
        <f t="shared" si="16"/>
        <v>0</v>
      </c>
      <c r="DU34" s="457">
        <f t="shared" si="16"/>
        <v>0</v>
      </c>
      <c r="DV34" s="457">
        <f t="shared" si="16"/>
        <v>0</v>
      </c>
      <c r="DW34" s="457">
        <f t="shared" si="16"/>
        <v>0</v>
      </c>
      <c r="DX34" s="457">
        <f t="shared" si="16"/>
        <v>0</v>
      </c>
      <c r="DY34" s="457">
        <f t="shared" si="16"/>
        <v>0</v>
      </c>
      <c r="DZ34" s="457">
        <f t="shared" si="16"/>
        <v>0</v>
      </c>
      <c r="EA34" s="457">
        <f t="shared" si="16"/>
        <v>0</v>
      </c>
      <c r="EB34" s="457">
        <f t="shared" si="16"/>
        <v>0</v>
      </c>
      <c r="EC34" s="457">
        <f t="shared" si="16"/>
        <v>0</v>
      </c>
      <c r="ED34" s="457">
        <f t="shared" si="16"/>
        <v>0</v>
      </c>
      <c r="EE34" s="457">
        <f t="shared" si="16"/>
        <v>0</v>
      </c>
      <c r="EF34" s="457">
        <f t="shared" si="16"/>
        <v>0</v>
      </c>
      <c r="EG34" s="457">
        <f t="shared" si="16"/>
        <v>0</v>
      </c>
      <c r="EH34" s="457">
        <f t="shared" si="16"/>
        <v>0</v>
      </c>
      <c r="EI34" s="457">
        <f t="shared" si="16"/>
        <v>0</v>
      </c>
      <c r="EJ34" s="457">
        <f t="shared" si="16"/>
        <v>0</v>
      </c>
      <c r="EK34" s="457">
        <f t="shared" si="16"/>
        <v>0</v>
      </c>
      <c r="EL34" s="457">
        <f t="shared" si="16"/>
        <v>0</v>
      </c>
      <c r="EM34" s="457">
        <f t="shared" si="16"/>
        <v>0</v>
      </c>
      <c r="EN34" s="457">
        <f t="shared" si="16"/>
        <v>0</v>
      </c>
      <c r="EO34" s="457">
        <f t="shared" si="16"/>
        <v>0</v>
      </c>
      <c r="EP34" s="457">
        <f t="shared" si="16"/>
        <v>0</v>
      </c>
      <c r="EQ34" s="457">
        <f t="shared" si="16"/>
        <v>0</v>
      </c>
      <c r="ER34" s="457">
        <f t="shared" si="16"/>
        <v>0</v>
      </c>
      <c r="ES34" s="457">
        <f t="shared" ref="ES34:FE34" si="17">MAX(0,(1-1.844*ES31/RNG))</f>
        <v>0</v>
      </c>
      <c r="ET34" s="457">
        <f t="shared" si="17"/>
        <v>0</v>
      </c>
      <c r="EU34" s="457">
        <f t="shared" si="17"/>
        <v>0</v>
      </c>
      <c r="EV34" s="457">
        <f t="shared" si="17"/>
        <v>0</v>
      </c>
      <c r="EW34" s="457">
        <f t="shared" si="17"/>
        <v>0</v>
      </c>
      <c r="EX34" s="457">
        <f t="shared" si="17"/>
        <v>0</v>
      </c>
      <c r="EY34" s="457">
        <f t="shared" si="17"/>
        <v>0</v>
      </c>
      <c r="EZ34" s="457">
        <f t="shared" si="17"/>
        <v>0</v>
      </c>
      <c r="FA34" s="457">
        <f t="shared" si="17"/>
        <v>0</v>
      </c>
      <c r="FB34" s="457">
        <f t="shared" si="17"/>
        <v>0</v>
      </c>
      <c r="FC34" s="457">
        <f t="shared" si="17"/>
        <v>0</v>
      </c>
      <c r="FD34" s="457">
        <f t="shared" si="17"/>
        <v>0</v>
      </c>
      <c r="FE34" s="457">
        <f t="shared" si="17"/>
        <v>0</v>
      </c>
      <c r="FF34" s="455"/>
    </row>
    <row r="35" spans="1:162" ht="18" customHeight="1" x14ac:dyDescent="0.25">
      <c r="A35" s="330" t="s">
        <v>151</v>
      </c>
      <c r="B35" s="331"/>
      <c r="C35" s="331"/>
      <c r="D35" s="331"/>
      <c r="E35" s="331"/>
      <c r="F35" s="331"/>
      <c r="G35" s="331"/>
      <c r="H35" s="331"/>
      <c r="I35" s="332"/>
      <c r="R35" s="439"/>
      <c r="S35" s="439"/>
      <c r="T35" s="455"/>
      <c r="U35" s="455"/>
      <c r="V35" s="455"/>
      <c r="W35" s="455"/>
      <c r="X35" s="455"/>
      <c r="Y35" s="455"/>
      <c r="Z35" s="455"/>
      <c r="AA35" s="455"/>
      <c r="AB35" s="455"/>
      <c r="AC35" s="455"/>
      <c r="AD35" s="455"/>
      <c r="AE35" s="455"/>
      <c r="AF35" s="455"/>
      <c r="AG35" s="455"/>
      <c r="AH35" s="455"/>
      <c r="AI35" s="455"/>
      <c r="AJ35" s="455"/>
      <c r="AK35" s="455"/>
      <c r="AL35" s="455"/>
      <c r="AM35" s="455"/>
      <c r="AN35" s="455"/>
      <c r="AO35" s="455"/>
      <c r="AP35" s="455"/>
      <c r="AQ35" s="455"/>
      <c r="AR35" s="455"/>
      <c r="AS35" s="455"/>
      <c r="AT35" s="455"/>
      <c r="AU35" s="455"/>
      <c r="AV35" s="455"/>
      <c r="AW35" s="455"/>
      <c r="AX35" s="455"/>
      <c r="AY35" s="455"/>
      <c r="AZ35" s="455"/>
      <c r="BA35" s="455"/>
      <c r="BB35" s="455"/>
      <c r="BC35" s="455"/>
      <c r="BD35" s="455"/>
      <c r="BE35" s="455"/>
      <c r="BF35" s="455"/>
      <c r="BG35" s="455"/>
      <c r="BH35" s="455"/>
      <c r="BI35" s="455"/>
      <c r="BJ35" s="455"/>
      <c r="BK35" s="455"/>
      <c r="BL35" s="455"/>
      <c r="BM35" s="455"/>
      <c r="BN35" s="455"/>
      <c r="BO35" s="455"/>
      <c r="BP35" s="455"/>
      <c r="BQ35" s="455"/>
      <c r="BR35" s="455"/>
      <c r="BS35" s="455"/>
      <c r="BT35" s="455"/>
      <c r="BU35" s="455"/>
      <c r="BV35" s="455"/>
      <c r="BW35" s="455"/>
      <c r="BX35" s="455"/>
      <c r="BY35" s="455"/>
      <c r="BZ35" s="455"/>
      <c r="CA35" s="455"/>
      <c r="CB35" s="455"/>
      <c r="CC35" s="455"/>
      <c r="CD35" s="455"/>
      <c r="CE35" s="455"/>
      <c r="CF35" s="455"/>
      <c r="CG35" s="455"/>
      <c r="CH35" s="455"/>
      <c r="CI35" s="455"/>
      <c r="CJ35" s="455"/>
      <c r="CK35" s="455"/>
      <c r="CL35" s="455"/>
      <c r="CM35" s="455"/>
      <c r="CN35" s="455"/>
      <c r="CO35" s="455"/>
      <c r="CP35" s="455"/>
      <c r="CQ35" s="455"/>
      <c r="CR35" s="455"/>
      <c r="CS35" s="455"/>
      <c r="CT35" s="455"/>
      <c r="CU35" s="455"/>
      <c r="CV35" s="455"/>
      <c r="CW35" s="455"/>
      <c r="CX35" s="455"/>
      <c r="CY35" s="455"/>
      <c r="CZ35" s="455"/>
      <c r="DA35" s="455"/>
      <c r="DB35" s="455"/>
      <c r="DC35" s="455"/>
      <c r="DD35" s="455"/>
      <c r="DE35" s="455"/>
      <c r="DF35" s="455"/>
      <c r="DG35" s="455"/>
      <c r="DH35" s="455"/>
      <c r="DI35" s="455"/>
      <c r="DJ35" s="455"/>
      <c r="DK35" s="455"/>
      <c r="DL35" s="455"/>
      <c r="DM35" s="455"/>
      <c r="DN35" s="455"/>
      <c r="DO35" s="455"/>
      <c r="DP35" s="455"/>
      <c r="DQ35" s="455"/>
      <c r="DR35" s="455"/>
      <c r="DS35" s="455"/>
      <c r="DT35" s="455"/>
      <c r="DU35" s="455"/>
      <c r="DV35" s="455"/>
      <c r="DW35" s="455"/>
      <c r="DX35" s="455"/>
      <c r="DY35" s="455"/>
      <c r="DZ35" s="455"/>
      <c r="EA35" s="455"/>
      <c r="EB35" s="455"/>
      <c r="EC35" s="455"/>
      <c r="ED35" s="455"/>
      <c r="EE35" s="455"/>
      <c r="EF35" s="455"/>
      <c r="EG35" s="455"/>
      <c r="EH35" s="455"/>
      <c r="EI35" s="455"/>
      <c r="EJ35" s="455"/>
      <c r="EK35" s="455"/>
      <c r="EL35" s="455"/>
      <c r="EM35" s="455"/>
      <c r="EN35" s="455"/>
      <c r="EO35" s="455"/>
      <c r="EP35" s="455"/>
      <c r="EQ35" s="455"/>
      <c r="ER35" s="455"/>
      <c r="ES35" s="455"/>
      <c r="ET35" s="455"/>
      <c r="EU35" s="455"/>
      <c r="EV35" s="455"/>
      <c r="EW35" s="455"/>
      <c r="EX35" s="455"/>
      <c r="EY35" s="455"/>
      <c r="EZ35" s="455"/>
      <c r="FA35" s="455"/>
      <c r="FB35" s="455"/>
      <c r="FC35" s="455"/>
      <c r="FD35" s="455"/>
      <c r="FE35" s="455"/>
      <c r="FF35" s="455"/>
    </row>
    <row r="36" spans="1:162" ht="18" customHeight="1" x14ac:dyDescent="0.25">
      <c r="A36" s="38" t="s">
        <v>132</v>
      </c>
      <c r="B36" s="214">
        <f>Constants!B3*(1+(1-D9/100)*IF(ISBLANK(B31),B30,B31)/((1+D10/100)*IF(ISBLANK(B33),B32,B33)))</f>
        <v>11.461861571499366</v>
      </c>
      <c r="C36" s="214">
        <f>Constants!C3*(1+IF(ISBLANK(B31),B30,B31)/IF(ISBLANK(B33),B32,B33))</f>
        <v>11.988811188811191</v>
      </c>
      <c r="D36" s="214">
        <f>Constants!D3*(1+(1+D9/100)*IF(ISBLANK(B31),B30,B31)/((1-D10/100)*IF(ISBLANK(B33),B32,B33)))</f>
        <v>12.537965091818752</v>
      </c>
      <c r="E36" s="12" t="s">
        <v>131</v>
      </c>
      <c r="F36" s="10"/>
      <c r="G36" s="10"/>
      <c r="H36" s="10"/>
      <c r="I36" s="39"/>
      <c r="R36" s="439"/>
      <c r="S36" s="439"/>
      <c r="T36" s="458" t="s">
        <v>343</v>
      </c>
      <c r="U36" s="459">
        <f t="shared" ref="U36:AZ36" ca="1" si="18">IF(U31&lt;=Vin_mode,MAX(U31*U34/(Fsw*Lo),(U31*U34/(Fsw*Lo)+(U31-Vout_typ)*(U33-U34)/(Fsw*Lo))),(U33*(U31-(Vout_typ+1*VF)-(U37-U36/2)*(U44+LoDCR)/1000)/(Lo*IF(U31&lt;=18,Fsw,1.5*Fsw-U31/36*Fsw))))</f>
        <v>0.26574404761904757</v>
      </c>
      <c r="V36" s="459">
        <f t="shared" ca="1" si="18"/>
        <v>0.27005537412205138</v>
      </c>
      <c r="W36" s="459">
        <f t="shared" ca="1" si="18"/>
        <v>0.27389311058839116</v>
      </c>
      <c r="X36" s="459">
        <f t="shared" ca="1" si="18"/>
        <v>0.27725725701806697</v>
      </c>
      <c r="Y36" s="459">
        <f t="shared" ca="1" si="18"/>
        <v>0.28014781341107869</v>
      </c>
      <c r="Z36" s="459">
        <f t="shared" ca="1" si="18"/>
        <v>0.28256477976742644</v>
      </c>
      <c r="AA36" s="459">
        <f t="shared" ca="1" si="18"/>
        <v>0.28450815608711011</v>
      </c>
      <c r="AB36" s="459">
        <f t="shared" ca="1" si="18"/>
        <v>0.2859779423701298</v>
      </c>
      <c r="AC36" s="459">
        <f t="shared" ca="1" si="18"/>
        <v>0.28697413861648546</v>
      </c>
      <c r="AD36" s="459">
        <f t="shared" ca="1" si="18"/>
        <v>0.28749674482617715</v>
      </c>
      <c r="AE36" s="459">
        <f t="shared" ca="1" si="18"/>
        <v>0.28754576099920487</v>
      </c>
      <c r="AF36" s="459">
        <f t="shared" ca="1" si="18"/>
        <v>0.2871211871355685</v>
      </c>
      <c r="AG36" s="459">
        <f t="shared" ca="1" si="18"/>
        <v>0.2862230232352681</v>
      </c>
      <c r="AH36" s="459">
        <f t="shared" ca="1" si="18"/>
        <v>0.28485126929830373</v>
      </c>
      <c r="AI36" s="459">
        <f t="shared" ca="1" si="18"/>
        <v>0.28300592532467528</v>
      </c>
      <c r="AJ36" s="459">
        <f t="shared" ca="1" si="18"/>
        <v>0.28068699131438285</v>
      </c>
      <c r="AK36" s="459">
        <f t="shared" ca="1" si="18"/>
        <v>0.27789446726742645</v>
      </c>
      <c r="AL36" s="459">
        <f t="shared" ca="1" si="18"/>
        <v>0.27462835318380596</v>
      </c>
      <c r="AM36" s="459">
        <f t="shared" ca="1" si="18"/>
        <v>0.27088864906352145</v>
      </c>
      <c r="AN36" s="459">
        <f t="shared" ca="1" si="18"/>
        <v>0.26667535490657296</v>
      </c>
      <c r="AO36" s="459">
        <f t="shared" ca="1" si="18"/>
        <v>0.26198847071296039</v>
      </c>
      <c r="AP36" s="459">
        <f t="shared" ca="1" si="18"/>
        <v>0.2568279964826839</v>
      </c>
      <c r="AQ36" s="459">
        <f t="shared" ca="1" si="18"/>
        <v>0.25119393221574327</v>
      </c>
      <c r="AR36" s="459">
        <f t="shared" ca="1" si="18"/>
        <v>0.24508627791213883</v>
      </c>
      <c r="AS36" s="459">
        <f t="shared" ca="1" si="18"/>
        <v>0.23850503357187017</v>
      </c>
      <c r="AT36" s="459">
        <f t="shared" ca="1" si="18"/>
        <v>0.23145019919493759</v>
      </c>
      <c r="AU36" s="459">
        <f t="shared" ca="1" si="18"/>
        <v>0.22392177478134087</v>
      </c>
      <c r="AV36" s="459">
        <f t="shared" ca="1" si="18"/>
        <v>0.21591976033108035</v>
      </c>
      <c r="AW36" s="459">
        <f t="shared" ca="1" si="18"/>
        <v>0.2074441558441556</v>
      </c>
      <c r="AX36" s="459">
        <f t="shared" ca="1" si="18"/>
        <v>0.19849496132056699</v>
      </c>
      <c r="AY36" s="459">
        <f t="shared" ca="1" si="18"/>
        <v>0.19130361700085596</v>
      </c>
      <c r="AZ36" s="459">
        <f t="shared" ca="1" si="18"/>
        <v>0.19204678560331603</v>
      </c>
      <c r="BA36" s="459">
        <f t="shared" ref="BA36:CF36" ca="1" si="19">IF(BA31&lt;=Vin_mode,MAX(BA31*BA34/(Fsw*Lo),(BA31*BA34/(Fsw*Lo)+(BA31-Vout_typ)*(BA33-BA34)/(Fsw*Lo))),(BA33*(BA31-(Vout_typ+1*VF)-(BA37-BA36/2)*(BA44+LoDCR)/1000)/(Lo*IF(BA31&lt;=18,Fsw,1.5*Fsw-BA31/36*Fsw))))</f>
        <v>0.19276993926780384</v>
      </c>
      <c r="BB36" s="459">
        <f t="shared" ca="1" si="19"/>
        <v>0.193474606960676</v>
      </c>
      <c r="BC36" s="459">
        <f t="shared" ca="1" si="19"/>
        <v>0.19416217768074839</v>
      </c>
      <c r="BD36" s="459">
        <f t="shared" ca="1" si="19"/>
        <v>0.19483391550273621</v>
      </c>
      <c r="BE36" s="459">
        <f t="shared" ca="1" si="19"/>
        <v>0.19549097276105953</v>
      </c>
      <c r="BF36" s="459">
        <f t="shared" ca="1" si="19"/>
        <v>0.19613440163391382</v>
      </c>
      <c r="BG36" s="459">
        <f t="shared" ca="1" si="19"/>
        <v>0.19676516434701941</v>
      </c>
      <c r="BH36" s="459">
        <f t="shared" ca="1" si="19"/>
        <v>0.19738414218291789</v>
      </c>
      <c r="BI36" s="459">
        <f t="shared" ca="1" si="19"/>
        <v>0.19799214345379468</v>
      </c>
      <c r="BJ36" s="459">
        <f t="shared" ca="1" si="19"/>
        <v>0.19858991057252068</v>
      </c>
      <c r="BK36" s="459">
        <f t="shared" ca="1" si="19"/>
        <v>0.19917812633710985</v>
      </c>
      <c r="BL36" s="459">
        <f t="shared" ca="1" si="19"/>
        <v>0.19975741952739132</v>
      </c>
      <c r="BM36" s="459">
        <f t="shared" ca="1" si="19"/>
        <v>0.20032836989887656</v>
      </c>
      <c r="BN36" s="459">
        <f t="shared" ca="1" si="19"/>
        <v>0.1720617540028366</v>
      </c>
      <c r="BO36" s="459">
        <f t="shared" ca="1" si="19"/>
        <v>0.18308144975773699</v>
      </c>
      <c r="BP36" s="459">
        <f t="shared" ca="1" si="19"/>
        <v>0.19380142745251527</v>
      </c>
      <c r="BQ36" s="459">
        <f t="shared" ca="1" si="19"/>
        <v>0.20423375281831793</v>
      </c>
      <c r="BR36" s="459">
        <f t="shared" ca="1" si="19"/>
        <v>0.21438985240523048</v>
      </c>
      <c r="BS36" s="459">
        <f t="shared" ca="1" si="19"/>
        <v>0.22428055536339592</v>
      </c>
      <c r="BT36" s="459">
        <f t="shared" ca="1" si="19"/>
        <v>0.23391613198835476</v>
      </c>
      <c r="BU36" s="459">
        <f t="shared" ca="1" si="19"/>
        <v>0.24330632931932183</v>
      </c>
      <c r="BV36" s="459">
        <f t="shared" ca="1" si="19"/>
        <v>0.25246040405003906</v>
      </c>
      <c r="BW36" s="459">
        <f t="shared" ca="1" si="19"/>
        <v>0.26138715298601334</v>
      </c>
      <c r="BX36" s="459">
        <f t="shared" ca="1" si="19"/>
        <v>0.27009494125898492</v>
      </c>
      <c r="BY36" s="459">
        <f t="shared" ca="1" si="19"/>
        <v>0.27859172848900754</v>
      </c>
      <c r="BZ36" s="459">
        <f t="shared" ca="1" si="19"/>
        <v>0.28688509306626936</v>
      </c>
      <c r="CA36" s="459">
        <f t="shared" ca="1" si="19"/>
        <v>0.29609895086927634</v>
      </c>
      <c r="CB36" s="459">
        <f t="shared" ca="1" si="19"/>
        <v>0.30589559492772184</v>
      </c>
      <c r="CC36" s="459">
        <f t="shared" ca="1" si="19"/>
        <v>0.31562701118649755</v>
      </c>
      <c r="CD36" s="459">
        <f t="shared" ca="1" si="19"/>
        <v>0.32529839338065175</v>
      </c>
      <c r="CE36" s="459">
        <f t="shared" ca="1" si="19"/>
        <v>0.33491477337715936</v>
      </c>
      <c r="CF36" s="459">
        <f t="shared" ca="1" si="19"/>
        <v>0.34448103247365891</v>
      </c>
      <c r="CG36" s="459">
        <f t="shared" ref="CG36:DL36" ca="1" si="20">IF(CG31&lt;=Vin_mode,MAX(CG31*CG34/(Fsw*Lo),(CG31*CG34/(Fsw*Lo)+(CG31-Vout_typ)*(CG33-CG34)/(Fsw*Lo))),(CG33*(CG31-(Vout_typ+1*VF)-(CG37-CG36/2)*(CG44+LoDCR)/1000)/(Lo*IF(CG31&lt;=18,Fsw,1.5*Fsw-CG31/36*Fsw))))</f>
        <v>0.35400191203243914</v>
      </c>
      <c r="CH36" s="459">
        <f t="shared" ca="1" si="20"/>
        <v>0.36348202350425357</v>
      </c>
      <c r="CI36" s="459">
        <f t="shared" ca="1" si="20"/>
        <v>0.37292585789200133</v>
      </c>
      <c r="CJ36" s="459">
        <f t="shared" ca="1" si="20"/>
        <v>0.38233779470022899</v>
      </c>
      <c r="CK36" s="459">
        <f t="shared" ca="1" si="20"/>
        <v>0.39172211041271737</v>
      </c>
      <c r="CL36" s="459">
        <f t="shared" ca="1" si="20"/>
        <v>0.40108298653709756</v>
      </c>
      <c r="CM36" s="459">
        <f t="shared" ca="1" si="20"/>
        <v>0.41042451725242945</v>
      </c>
      <c r="CN36" s="459">
        <f t="shared" ca="1" si="20"/>
        <v>0.41975071669296687</v>
      </c>
      <c r="CO36" s="459">
        <f t="shared" ca="1" si="20"/>
        <v>0.42906552589888258</v>
      </c>
      <c r="CP36" s="459">
        <f t="shared" ca="1" si="20"/>
        <v>0.43837281946250745</v>
      </c>
      <c r="CQ36" s="459">
        <f t="shared" ca="1" si="20"/>
        <v>0.44767641189664453</v>
      </c>
      <c r="CR36" s="459">
        <f t="shared" ca="1" si="20"/>
        <v>0.45698006374970451</v>
      </c>
      <c r="CS36" s="459">
        <f t="shared" ca="1" si="20"/>
        <v>0.46628748749078475</v>
      </c>
      <c r="CT36" s="459">
        <f t="shared" ca="1" si="20"/>
        <v>0.47560235318633842</v>
      </c>
      <c r="CU36" s="459">
        <f t="shared" ca="1" si="20"/>
        <v>0.48492829398876192</v>
      </c>
      <c r="CV36" s="459">
        <f t="shared" ca="1" si="20"/>
        <v>0.49426891145603258</v>
      </c>
      <c r="CW36" s="459">
        <f t="shared" ca="1" si="20"/>
        <v>0.5036277807204661</v>
      </c>
      <c r="CX36" s="459">
        <f t="shared" ca="1" si="20"/>
        <v>0.51300845552370278</v>
      </c>
      <c r="CY36" s="459">
        <f t="shared" ca="1" si="20"/>
        <v>0.52241447313418721</v>
      </c>
      <c r="CZ36" s="459">
        <f t="shared" ca="1" si="20"/>
        <v>0.53184935916264298</v>
      </c>
      <c r="DA36" s="459">
        <f t="shared" ca="1" si="20"/>
        <v>0.54131663229038529</v>
      </c>
      <c r="DB36" s="459">
        <f t="shared" ca="1" si="20"/>
        <v>0.55081980892473037</v>
      </c>
      <c r="DC36" s="459">
        <f t="shared" ca="1" si="20"/>
        <v>0.56036240779525226</v>
      </c>
      <c r="DD36" s="459">
        <f t="shared" ca="1" si="20"/>
        <v>0.5699479545042142</v>
      </c>
      <c r="DE36" s="459">
        <f t="shared" ca="1" si="20"/>
        <v>0.57957998604413452</v>
      </c>
      <c r="DF36" s="459">
        <f t="shared" ca="1" si="20"/>
        <v>0.58926205529515585</v>
      </c>
      <c r="DG36" s="459">
        <f t="shared" ca="1" si="20"/>
        <v>0.59899773551465307</v>
      </c>
      <c r="DH36" s="459">
        <f t="shared" ca="1" si="20"/>
        <v>0.60879062483134672</v>
      </c>
      <c r="DI36" s="459">
        <f t="shared" ca="1" si="20"/>
        <v>0.61864435075607638</v>
      </c>
      <c r="DJ36" s="459">
        <f t="shared" ca="1" si="20"/>
        <v>0.62856257472133115</v>
      </c>
      <c r="DK36" s="459">
        <f t="shared" ca="1" si="20"/>
        <v>0.63854899666164966</v>
      </c>
      <c r="DL36" s="459">
        <f t="shared" ca="1" si="20"/>
        <v>0.64860735964704352</v>
      </c>
      <c r="DM36" s="459">
        <f t="shared" ref="DM36:ER36" ca="1" si="21">IF(DM31&lt;=Vin_mode,MAX(DM31*DM34/(Fsw*Lo),(DM31*DM34/(Fsw*Lo)+(DM31-Vout_typ)*(DM33-DM34)/(Fsw*Lo))),(DM33*(DM31-(Vout_typ+1*VF)-(DM37-DM36/2)*(DM44+LoDCR)/1000)/(Lo*IF(DM31&lt;=18,Fsw,1.5*Fsw-DM31/36*Fsw))))</f>
        <v>0.6587414545817295</v>
      </c>
      <c r="DN36" s="459">
        <f t="shared" ca="1" si="21"/>
        <v>0.66895512498061982</v>
      </c>
      <c r="DO36" s="459">
        <f t="shared" ca="1" si="21"/>
        <v>0.67925227183624703</v>
      </c>
      <c r="DP36" s="459">
        <f t="shared" ca="1" si="21"/>
        <v>0.68963685858909263</v>
      </c>
      <c r="DQ36" s="459">
        <f t="shared" ca="1" si="21"/>
        <v>0.70011291621462712</v>
      </c>
      <c r="DR36" s="459">
        <f t="shared" ca="1" si="21"/>
        <v>0.71068454844078355</v>
      </c>
      <c r="DS36" s="459">
        <f t="shared" ca="1" si="21"/>
        <v>0.72135593711004808</v>
      </c>
      <c r="DT36" s="459">
        <f t="shared" ca="1" si="21"/>
        <v>0.73213134770089849</v>
      </c>
      <c r="DU36" s="459">
        <f t="shared" ca="1" si="21"/>
        <v>0.74301513502391592</v>
      </c>
      <c r="DV36" s="459">
        <f t="shared" ca="1" si="21"/>
        <v>0.75401174910858437</v>
      </c>
      <c r="DW36" s="459">
        <f t="shared" ca="1" si="21"/>
        <v>0.76512574129754174</v>
      </c>
      <c r="DX36" s="459">
        <f t="shared" ca="1" si="21"/>
        <v>0.77636177056588751</v>
      </c>
      <c r="DY36" s="459">
        <f t="shared" ca="1" si="21"/>
        <v>0.78772461008408157</v>
      </c>
      <c r="DZ36" s="459">
        <f t="shared" ca="1" si="21"/>
        <v>0.7992191540439767</v>
      </c>
      <c r="EA36" s="459">
        <f t="shared" ca="1" si="21"/>
        <v>0.81085042476866509</v>
      </c>
      <c r="EB36" s="459">
        <f t="shared" ca="1" si="21"/>
        <v>0.8226235801280315</v>
      </c>
      <c r="EC36" s="459">
        <f t="shared" ca="1" si="21"/>
        <v>0.83454392128325472</v>
      </c>
      <c r="ED36" s="459">
        <f t="shared" ca="1" si="21"/>
        <v>0.84661690078498009</v>
      </c>
      <c r="EE36" s="459">
        <f t="shared" ca="1" si="21"/>
        <v>0.85884813105147495</v>
      </c>
      <c r="EF36" s="459">
        <f t="shared" ca="1" si="21"/>
        <v>0.87124339325484779</v>
      </c>
      <c r="EG36" s="459">
        <f t="shared" ca="1" si="21"/>
        <v>0.88380864664532333</v>
      </c>
      <c r="EH36" s="459">
        <f t="shared" ca="1" si="21"/>
        <v>0.89655003834565505</v>
      </c>
      <c r="EI36" s="459">
        <f t="shared" ca="1" si="21"/>
        <v>0.90947391365004682</v>
      </c>
      <c r="EJ36" s="459">
        <f t="shared" ca="1" si="21"/>
        <v>0.92258682686443316</v>
      </c>
      <c r="EK36" s="459">
        <f t="shared" ca="1" si="21"/>
        <v>0.93589555272770586</v>
      </c>
      <c r="EL36" s="459">
        <f t="shared" ca="1" si="21"/>
        <v>0.9494070984564289</v>
      </c>
      <c r="EM36" s="459">
        <f t="shared" ca="1" si="21"/>
        <v>0.96312871645883724</v>
      </c>
      <c r="EN36" s="459">
        <f t="shared" ca="1" si="21"/>
        <v>0.97706791776746094</v>
      </c>
      <c r="EO36" s="459">
        <f t="shared" ca="1" si="21"/>
        <v>0.99123248624359217</v>
      </c>
      <c r="EP36" s="459">
        <f t="shared" ca="1" si="21"/>
        <v>1.0056304936110578</v>
      </c>
      <c r="EQ36" s="459">
        <f t="shared" ca="1" si="21"/>
        <v>1.0202703153814006</v>
      </c>
      <c r="ER36" s="459">
        <f t="shared" ca="1" si="21"/>
        <v>1.0351606477376691</v>
      </c>
      <c r="ES36" s="459">
        <f t="shared" ref="ES36:FE36" ca="1" si="22">IF(ES31&lt;=Vin_mode,MAX(ES31*ES34/(Fsw*Lo),(ES31*ES34/(Fsw*Lo)+(ES31-Vout_typ)*(ES33-ES34)/(Fsw*Lo))),(ES33*(ES31-(Vout_typ+1*VF)-(ES37-ES36/2)*(ES44+LoDCR)/1000)/(Lo*IF(ES31&lt;=18,Fsw,1.5*Fsw-ES31/36*Fsw))))</f>
        <v>1.0503105254495897</v>
      </c>
      <c r="ET36" s="459">
        <f t="shared" ca="1" si="22"/>
        <v>1.0657293408990225</v>
      </c>
      <c r="EU36" s="459">
        <f t="shared" ca="1" si="22"/>
        <v>1.0814268643013119</v>
      </c>
      <c r="EV36" s="459">
        <f t="shared" ca="1" si="22"/>
        <v>1.0974132652155495</v>
      </c>
      <c r="EW36" s="459">
        <f t="shared" ca="1" si="22"/>
        <v>1.1136991354448778</v>
      </c>
      <c r="EX36" s="459">
        <f t="shared" ca="1" si="22"/>
        <v>1.1302955134369186</v>
      </c>
      <c r="EY36" s="459">
        <f t="shared" ca="1" si="22"/>
        <v>1.1472139103042693</v>
      </c>
      <c r="EZ36" s="459">
        <f t="shared" ca="1" si="22"/>
        <v>1.164466337595887</v>
      </c>
      <c r="FA36" s="459">
        <f t="shared" ca="1" si="22"/>
        <v>1.182065336962195</v>
      </c>
      <c r="FB36" s="459">
        <f t="shared" ca="1" si="22"/>
        <v>1.2000240118700192</v>
      </c>
      <c r="FC36" s="459">
        <f t="shared" ca="1" si="22"/>
        <v>1.2183560615381666</v>
      </c>
      <c r="FD36" s="459">
        <f t="shared" ca="1" si="22"/>
        <v>1.2370758172807266</v>
      </c>
      <c r="FE36" s="459">
        <f t="shared" ca="1" si="22"/>
        <v>1.2561982814632398</v>
      </c>
      <c r="FF36" s="455"/>
    </row>
    <row r="37" spans="1:162" ht="18" customHeight="1" thickBot="1" x14ac:dyDescent="0.3">
      <c r="A37" s="38"/>
      <c r="B37" s="323"/>
      <c r="C37" s="323"/>
      <c r="D37" s="323"/>
      <c r="E37" s="12"/>
      <c r="F37" s="10"/>
      <c r="G37" s="10"/>
      <c r="H37" s="10"/>
      <c r="I37" s="39"/>
      <c r="R37" s="439"/>
      <c r="S37" s="439"/>
      <c r="T37" s="455" t="s">
        <v>332</v>
      </c>
      <c r="U37" s="459">
        <f t="shared" ref="U37:AZ37" ca="1" si="23">IF(U31&lt;=Vin_mode, (Iout+U36*0.5*(1-U33))/(1-U34),(Iout+0.5*U36))</f>
        <v>2.7936314851589183</v>
      </c>
      <c r="V37" s="459">
        <f t="shared" ca="1" si="23"/>
        <v>2.6906408374167361</v>
      </c>
      <c r="W37" s="459">
        <f t="shared" ca="1" si="23"/>
        <v>2.5948393963799297</v>
      </c>
      <c r="X37" s="459">
        <f t="shared" ca="1" si="23"/>
        <v>2.5055091951167583</v>
      </c>
      <c r="Y37" s="459">
        <f t="shared" ca="1" si="23"/>
        <v>2.4220196409191526</v>
      </c>
      <c r="Z37" s="459">
        <f t="shared" ca="1" si="23"/>
        <v>2.3438162163696501</v>
      </c>
      <c r="AA37" s="459">
        <f t="shared" ca="1" si="23"/>
        <v>2.270410292957084</v>
      </c>
      <c r="AB37" s="459">
        <f t="shared" ca="1" si="23"/>
        <v>2.2013702132271553</v>
      </c>
      <c r="AC37" s="459">
        <f t="shared" ca="1" si="23"/>
        <v>2.1363135964016529</v>
      </c>
      <c r="AD37" s="459">
        <f t="shared" ca="1" si="23"/>
        <v>2.0749007466162412</v>
      </c>
      <c r="AE37" s="459">
        <f t="shared" ca="1" si="23"/>
        <v>2.0168290227272059</v>
      </c>
      <c r="AF37" s="459">
        <f t="shared" ca="1" si="23"/>
        <v>1.9618280324589206</v>
      </c>
      <c r="AG37" s="459">
        <f t="shared" ca="1" si="23"/>
        <v>1.909655526947144</v>
      </c>
      <c r="AH37" s="459">
        <f t="shared" ca="1" si="23"/>
        <v>1.8600938877724844</v>
      </c>
      <c r="AI37" s="459">
        <f t="shared" ca="1" si="23"/>
        <v>1.8129471143772944</v>
      </c>
      <c r="AJ37" s="459">
        <f t="shared" ca="1" si="23"/>
        <v>1.7680382340917971</v>
      </c>
      <c r="AK37" s="459">
        <f t="shared" ca="1" si="23"/>
        <v>1.7252070694743551</v>
      </c>
      <c r="AL37" s="459">
        <f t="shared" ca="1" si="23"/>
        <v>1.684308308294812</v>
      </c>
      <c r="AM37" s="459">
        <f t="shared" ca="1" si="23"/>
        <v>1.6452098304200005</v>
      </c>
      <c r="AN37" s="459">
        <f t="shared" ca="1" si="23"/>
        <v>1.6077912533134653</v>
      </c>
      <c r="AO37" s="459">
        <f t="shared" ca="1" si="23"/>
        <v>1.5719426640582836</v>
      </c>
      <c r="AP37" s="459">
        <f t="shared" ca="1" si="23"/>
        <v>1.537563510956182</v>
      </c>
      <c r="AQ37" s="459">
        <f t="shared" ca="1" si="23"/>
        <v>1.5045616320261017</v>
      </c>
      <c r="AR37" s="459">
        <f t="shared" ca="1" si="23"/>
        <v>1.4728524012724022</v>
      </c>
      <c r="AS37" s="459">
        <f t="shared" ca="1" si="23"/>
        <v>1.4423579765436638</v>
      </c>
      <c r="AT37" s="459">
        <f t="shared" ca="1" si="23"/>
        <v>1.4130066352624346</v>
      </c>
      <c r="AU37" s="459">
        <f t="shared" ca="1" si="23"/>
        <v>1.3847321863605364</v>
      </c>
      <c r="AV37" s="459">
        <f t="shared" ca="1" si="23"/>
        <v>1.357473448474545</v>
      </c>
      <c r="AW37" s="459">
        <f t="shared" ca="1" si="23"/>
        <v>1.3311737858997235</v>
      </c>
      <c r="AX37" s="459">
        <f t="shared" ca="1" si="23"/>
        <v>1.3057806950155986</v>
      </c>
      <c r="AY37" s="459">
        <f t="shared" ca="1" si="23"/>
        <v>1.2814784119290827</v>
      </c>
      <c r="AZ37" s="459">
        <f t="shared" ca="1" si="23"/>
        <v>1.2588472740754226</v>
      </c>
      <c r="BA37" s="459">
        <f t="shared" ref="BA37:CF37" ca="1" si="24">IF(BA31&lt;=Vin_mode, (Iout+BA36*0.5*(1-BA33))/(1-BA34),(Iout+0.5*BA36))</f>
        <v>1.2370014430021155</v>
      </c>
      <c r="BB37" s="459">
        <f t="shared" ca="1" si="24"/>
        <v>1.2159008283226909</v>
      </c>
      <c r="BC37" s="459">
        <f t="shared" ca="1" si="24"/>
        <v>1.1955080173214665</v>
      </c>
      <c r="BD37" s="459">
        <f t="shared" ca="1" si="24"/>
        <v>1.1757880554925746</v>
      </c>
      <c r="BE37" s="459">
        <f t="shared" ca="1" si="24"/>
        <v>1.1567082482776523</v>
      </c>
      <c r="BF37" s="459">
        <f t="shared" ca="1" si="24"/>
        <v>1.1382379816548285</v>
      </c>
      <c r="BG37" s="459">
        <f t="shared" ca="1" si="24"/>
        <v>1.1203485595236891</v>
      </c>
      <c r="BH37" s="459">
        <f t="shared" ca="1" si="24"/>
        <v>1.1030130560827249</v>
      </c>
      <c r="BI37" s="459">
        <f t="shared" ca="1" si="24"/>
        <v>1.0862061816134447</v>
      </c>
      <c r="BJ37" s="459">
        <f t="shared" ca="1" si="24"/>
        <v>1.0699041602739292</v>
      </c>
      <c r="BK37" s="459">
        <f t="shared" ca="1" si="24"/>
        <v>1.054084618668367</v>
      </c>
      <c r="BL37" s="459">
        <f t="shared" ca="1" si="24"/>
        <v>1.0387264841016017</v>
      </c>
      <c r="BM37" s="459">
        <f t="shared" ca="1" si="24"/>
        <v>1.0238098915520011</v>
      </c>
      <c r="BN37" s="459">
        <f t="shared" ca="1" si="24"/>
        <v>1.0860308770014182</v>
      </c>
      <c r="BO37" s="459">
        <f t="shared" ca="1" si="24"/>
        <v>1.0915407248788684</v>
      </c>
      <c r="BP37" s="459">
        <f t="shared" ca="1" si="24"/>
        <v>1.0969007137262576</v>
      </c>
      <c r="BQ37" s="459">
        <f t="shared" ca="1" si="24"/>
        <v>1.1021168764091589</v>
      </c>
      <c r="BR37" s="459">
        <f t="shared" ca="1" si="24"/>
        <v>1.1071949262026153</v>
      </c>
      <c r="BS37" s="459">
        <f t="shared" ca="1" si="24"/>
        <v>1.112140277681698</v>
      </c>
      <c r="BT37" s="459">
        <f t="shared" ca="1" si="24"/>
        <v>1.1169580659941774</v>
      </c>
      <c r="BU37" s="459">
        <f t="shared" ca="1" si="24"/>
        <v>1.1216531646596608</v>
      </c>
      <c r="BV37" s="459">
        <f t="shared" ca="1" si="24"/>
        <v>1.1262302020250194</v>
      </c>
      <c r="BW37" s="459">
        <f t="shared" ca="1" si="24"/>
        <v>1.1306935764930066</v>
      </c>
      <c r="BX37" s="459">
        <f t="shared" ca="1" si="24"/>
        <v>1.1350474706294924</v>
      </c>
      <c r="BY37" s="459">
        <f t="shared" ca="1" si="24"/>
        <v>1.1392958642445037</v>
      </c>
      <c r="BZ37" s="459">
        <f t="shared" ca="1" si="24"/>
        <v>1.1434425465331346</v>
      </c>
      <c r="CA37" s="459">
        <f t="shared" ca="1" si="24"/>
        <v>1.1480494754346382</v>
      </c>
      <c r="CB37" s="459">
        <f t="shared" ca="1" si="24"/>
        <v>1.1529477974638609</v>
      </c>
      <c r="CC37" s="459">
        <f t="shared" ca="1" si="24"/>
        <v>1.1578135055932488</v>
      </c>
      <c r="CD37" s="459">
        <f t="shared" ca="1" si="24"/>
        <v>1.1626491966903258</v>
      </c>
      <c r="CE37" s="459">
        <f t="shared" ca="1" si="24"/>
        <v>1.1674573866885796</v>
      </c>
      <c r="CF37" s="459">
        <f t="shared" ca="1" si="24"/>
        <v>1.1722405162368295</v>
      </c>
      <c r="CG37" s="459">
        <f t="shared" ref="CG37:DL37" ca="1" si="25">IF(CG31&lt;=Vin_mode, (Iout+CG36*0.5*(1-CG33))/(1-CG34),(Iout+0.5*CG36))</f>
        <v>1.1770009560162196</v>
      </c>
      <c r="CH37" s="459">
        <f t="shared" ca="1" si="25"/>
        <v>1.1817410117521268</v>
      </c>
      <c r="CI37" s="459">
        <f t="shared" ca="1" si="25"/>
        <v>1.1864629289460007</v>
      </c>
      <c r="CJ37" s="459">
        <f t="shared" ca="1" si="25"/>
        <v>1.1911688973501144</v>
      </c>
      <c r="CK37" s="459">
        <f t="shared" ca="1" si="25"/>
        <v>1.1958610552063587</v>
      </c>
      <c r="CL37" s="459">
        <f t="shared" ca="1" si="25"/>
        <v>1.2005414932685488</v>
      </c>
      <c r="CM37" s="459">
        <f t="shared" ca="1" si="25"/>
        <v>1.2052122586262146</v>
      </c>
      <c r="CN37" s="459">
        <f t="shared" ca="1" si="25"/>
        <v>1.2098753583464834</v>
      </c>
      <c r="CO37" s="459">
        <f t="shared" ca="1" si="25"/>
        <v>1.2145327629494413</v>
      </c>
      <c r="CP37" s="459">
        <f t="shared" ca="1" si="25"/>
        <v>1.2191864097312537</v>
      </c>
      <c r="CQ37" s="459">
        <f t="shared" ca="1" si="25"/>
        <v>1.2238382059483222</v>
      </c>
      <c r="CR37" s="459">
        <f t="shared" ca="1" si="25"/>
        <v>1.2284900318748522</v>
      </c>
      <c r="CS37" s="459">
        <f t="shared" ca="1" si="25"/>
        <v>1.2331437437453925</v>
      </c>
      <c r="CT37" s="459">
        <f t="shared" ca="1" si="25"/>
        <v>1.2378011765931691</v>
      </c>
      <c r="CU37" s="459">
        <f t="shared" ca="1" si="25"/>
        <v>1.2424641469943809</v>
      </c>
      <c r="CV37" s="459">
        <f t="shared" ca="1" si="25"/>
        <v>1.2471344557280162</v>
      </c>
      <c r="CW37" s="459">
        <f t="shared" ca="1" si="25"/>
        <v>1.2518138903602329</v>
      </c>
      <c r="CX37" s="459">
        <f t="shared" ca="1" si="25"/>
        <v>1.2565042277618514</v>
      </c>
      <c r="CY37" s="459">
        <f t="shared" ca="1" si="25"/>
        <v>1.2612072365670937</v>
      </c>
      <c r="CZ37" s="459">
        <f t="shared" ca="1" si="25"/>
        <v>1.2659246795813215</v>
      </c>
      <c r="DA37" s="459">
        <f t="shared" ca="1" si="25"/>
        <v>1.2706583161451928</v>
      </c>
      <c r="DB37" s="459">
        <f t="shared" ca="1" si="25"/>
        <v>1.2754099044623652</v>
      </c>
      <c r="DC37" s="459">
        <f t="shared" ca="1" si="25"/>
        <v>1.2801812038976261</v>
      </c>
      <c r="DD37" s="459">
        <f t="shared" ca="1" si="25"/>
        <v>1.2849739772521072</v>
      </c>
      <c r="DE37" s="459">
        <f t="shared" ca="1" si="25"/>
        <v>1.2897899930220673</v>
      </c>
      <c r="DF37" s="459">
        <f t="shared" ca="1" si="25"/>
        <v>1.2946310276475779</v>
      </c>
      <c r="DG37" s="459">
        <f t="shared" ca="1" si="25"/>
        <v>1.2994988677573265</v>
      </c>
      <c r="DH37" s="459">
        <f t="shared" ca="1" si="25"/>
        <v>1.3043953124156733</v>
      </c>
      <c r="DI37" s="459">
        <f t="shared" ca="1" si="25"/>
        <v>1.3093221753780382</v>
      </c>
      <c r="DJ37" s="459">
        <f t="shared" ca="1" si="25"/>
        <v>1.3142812873606655</v>
      </c>
      <c r="DK37" s="459">
        <f t="shared" ca="1" si="25"/>
        <v>1.3192744983308249</v>
      </c>
      <c r="DL37" s="459">
        <f t="shared" ca="1" si="25"/>
        <v>1.3243036798235217</v>
      </c>
      <c r="DM37" s="459">
        <f t="shared" ref="DM37:ER37" ca="1" si="26">IF(DM31&lt;=Vin_mode, (Iout+DM36*0.5*(1-DM33))/(1-DM34),(Iout+0.5*DM36))</f>
        <v>1.3293707272908648</v>
      </c>
      <c r="DN37" s="459">
        <f t="shared" ca="1" si="26"/>
        <v>1.33447756249031</v>
      </c>
      <c r="DO37" s="459">
        <f t="shared" ca="1" si="26"/>
        <v>1.3396261359181234</v>
      </c>
      <c r="DP37" s="459">
        <f t="shared" ca="1" si="26"/>
        <v>1.3448184292945462</v>
      </c>
      <c r="DQ37" s="459">
        <f t="shared" ca="1" si="26"/>
        <v>1.3500564581073136</v>
      </c>
      <c r="DR37" s="459">
        <f t="shared" ca="1" si="26"/>
        <v>1.3553422742203918</v>
      </c>
      <c r="DS37" s="459">
        <f t="shared" ca="1" si="26"/>
        <v>1.3606779685550241</v>
      </c>
      <c r="DT37" s="459">
        <f t="shared" ca="1" si="26"/>
        <v>1.3660656738504493</v>
      </c>
      <c r="DU37" s="459">
        <f t="shared" ca="1" si="26"/>
        <v>1.3715075675119579</v>
      </c>
      <c r="DV37" s="459">
        <f t="shared" ca="1" si="26"/>
        <v>1.3770058745542921</v>
      </c>
      <c r="DW37" s="459">
        <f t="shared" ca="1" si="26"/>
        <v>1.3825628706487709</v>
      </c>
      <c r="DX37" s="459">
        <f t="shared" ca="1" si="26"/>
        <v>1.3881808852829438</v>
      </c>
      <c r="DY37" s="459">
        <f t="shared" ca="1" si="26"/>
        <v>1.3938623050420409</v>
      </c>
      <c r="DZ37" s="459">
        <f t="shared" ca="1" si="26"/>
        <v>1.3996095770219883</v>
      </c>
      <c r="EA37" s="459">
        <f t="shared" ca="1" si="26"/>
        <v>1.4054252123843325</v>
      </c>
      <c r="EB37" s="459">
        <f t="shared" ca="1" si="26"/>
        <v>1.4113117900640157</v>
      </c>
      <c r="EC37" s="459">
        <f t="shared" ca="1" si="26"/>
        <v>1.4172719606416273</v>
      </c>
      <c r="ED37" s="459">
        <f t="shared" ca="1" si="26"/>
        <v>1.42330845039249</v>
      </c>
      <c r="EE37" s="459">
        <f t="shared" ca="1" si="26"/>
        <v>1.4294240655257375</v>
      </c>
      <c r="EF37" s="459">
        <f t="shared" ca="1" si="26"/>
        <v>1.435621696627424</v>
      </c>
      <c r="EG37" s="459">
        <f t="shared" ca="1" si="26"/>
        <v>1.4419043233226616</v>
      </c>
      <c r="EH37" s="459">
        <f t="shared" ca="1" si="26"/>
        <v>1.4482750191728275</v>
      </c>
      <c r="EI37" s="459">
        <f t="shared" ca="1" si="26"/>
        <v>1.4547369568250235</v>
      </c>
      <c r="EJ37" s="459">
        <f t="shared" ca="1" si="26"/>
        <v>1.4612934134322166</v>
      </c>
      <c r="EK37" s="459">
        <f t="shared" ca="1" si="26"/>
        <v>1.4679477763638529</v>
      </c>
      <c r="EL37" s="459">
        <f t="shared" ca="1" si="26"/>
        <v>1.4747035492282143</v>
      </c>
      <c r="EM37" s="459">
        <f t="shared" ca="1" si="26"/>
        <v>1.4815643582294187</v>
      </c>
      <c r="EN37" s="459">
        <f t="shared" ca="1" si="26"/>
        <v>1.4885339588837305</v>
      </c>
      <c r="EO37" s="459">
        <f t="shared" ca="1" si="26"/>
        <v>1.4956162431217961</v>
      </c>
      <c r="EP37" s="459">
        <f t="shared" ca="1" si="26"/>
        <v>1.5028152468055289</v>
      </c>
      <c r="EQ37" s="459">
        <f t="shared" ca="1" si="26"/>
        <v>1.5101351576907003</v>
      </c>
      <c r="ER37" s="459">
        <f t="shared" ca="1" si="26"/>
        <v>1.5175803238688346</v>
      </c>
      <c r="ES37" s="459">
        <f t="shared" ref="ES37:FE37" ca="1" si="27">IF(ES31&lt;=Vin_mode, (Iout+ES36*0.5*(1-ES33))/(1-ES34),(Iout+0.5*ES36))</f>
        <v>1.5251552627247948</v>
      </c>
      <c r="ET37" s="459">
        <f t="shared" ca="1" si="27"/>
        <v>1.5328646704495112</v>
      </c>
      <c r="EU37" s="459">
        <f t="shared" ca="1" si="27"/>
        <v>1.5407134321506559</v>
      </c>
      <c r="EV37" s="459">
        <f t="shared" ca="1" si="27"/>
        <v>1.5487066326077747</v>
      </c>
      <c r="EW37" s="459">
        <f t="shared" ca="1" si="27"/>
        <v>1.556849567722439</v>
      </c>
      <c r="EX37" s="459">
        <f t="shared" ca="1" si="27"/>
        <v>1.5651477567184593</v>
      </c>
      <c r="EY37" s="459">
        <f t="shared" ca="1" si="27"/>
        <v>1.5736069551521346</v>
      </c>
      <c r="EZ37" s="459">
        <f t="shared" ca="1" si="27"/>
        <v>1.5822331687979436</v>
      </c>
      <c r="FA37" s="459">
        <f t="shared" ca="1" si="27"/>
        <v>1.5910326684810974</v>
      </c>
      <c r="FB37" s="459">
        <f t="shared" ca="1" si="27"/>
        <v>1.6000120059350096</v>
      </c>
      <c r="FC37" s="459">
        <f t="shared" ca="1" si="27"/>
        <v>1.6091780307690833</v>
      </c>
      <c r="FD37" s="459">
        <f t="shared" ca="1" si="27"/>
        <v>1.6185379086403633</v>
      </c>
      <c r="FE37" s="459">
        <f t="shared" ca="1" si="27"/>
        <v>1.6280991407316199</v>
      </c>
      <c r="FF37" s="455"/>
    </row>
    <row r="38" spans="1:162" ht="18" customHeight="1" x14ac:dyDescent="0.25">
      <c r="A38" s="330" t="s">
        <v>243</v>
      </c>
      <c r="B38" s="331"/>
      <c r="C38" s="331"/>
      <c r="D38" s="331"/>
      <c r="E38" s="331"/>
      <c r="F38" s="331"/>
      <c r="G38" s="331"/>
      <c r="H38" s="331"/>
      <c r="I38" s="332"/>
      <c r="R38" s="439"/>
      <c r="S38" s="439"/>
      <c r="T38" s="455"/>
      <c r="U38" s="455"/>
      <c r="V38" s="455"/>
      <c r="W38" s="455"/>
      <c r="X38" s="455"/>
      <c r="Y38" s="455"/>
      <c r="Z38" s="455"/>
      <c r="AA38" s="455"/>
      <c r="AB38" s="455"/>
      <c r="AC38" s="455"/>
      <c r="AD38" s="455"/>
      <c r="AE38" s="455"/>
      <c r="AF38" s="455"/>
      <c r="AG38" s="455"/>
      <c r="AH38" s="455"/>
      <c r="AI38" s="455"/>
      <c r="AJ38" s="455"/>
      <c r="AK38" s="455"/>
      <c r="AL38" s="455"/>
      <c r="AM38" s="455"/>
      <c r="AN38" s="455"/>
      <c r="AO38" s="455"/>
      <c r="AP38" s="455"/>
      <c r="AQ38" s="455"/>
      <c r="AR38" s="455"/>
      <c r="AS38" s="455"/>
      <c r="AT38" s="455"/>
      <c r="AU38" s="455"/>
      <c r="AV38" s="455"/>
      <c r="AW38" s="455"/>
      <c r="AX38" s="455"/>
      <c r="AY38" s="455"/>
      <c r="AZ38" s="455"/>
      <c r="BA38" s="455"/>
      <c r="BB38" s="455"/>
      <c r="BC38" s="455"/>
      <c r="BD38" s="455"/>
      <c r="BE38" s="455"/>
      <c r="BF38" s="455"/>
      <c r="BG38" s="455"/>
      <c r="BH38" s="455"/>
      <c r="BI38" s="455"/>
      <c r="BJ38" s="455"/>
      <c r="BK38" s="455"/>
      <c r="BL38" s="455"/>
      <c r="BM38" s="455"/>
      <c r="BN38" s="455"/>
      <c r="BO38" s="455"/>
      <c r="BP38" s="455"/>
      <c r="BQ38" s="455"/>
      <c r="BR38" s="455"/>
      <c r="BS38" s="455"/>
      <c r="BT38" s="455"/>
      <c r="BU38" s="455"/>
      <c r="BV38" s="455"/>
      <c r="BW38" s="455"/>
      <c r="BX38" s="455"/>
      <c r="BY38" s="455"/>
      <c r="BZ38" s="455"/>
      <c r="CA38" s="455"/>
      <c r="CB38" s="455"/>
      <c r="CC38" s="455"/>
      <c r="CD38" s="455"/>
      <c r="CE38" s="455"/>
      <c r="CF38" s="455"/>
      <c r="CG38" s="455"/>
      <c r="CH38" s="455"/>
      <c r="CI38" s="455"/>
      <c r="CJ38" s="455"/>
      <c r="CK38" s="455"/>
      <c r="CL38" s="455"/>
      <c r="CM38" s="455"/>
      <c r="CN38" s="455"/>
      <c r="CO38" s="455"/>
      <c r="CP38" s="455"/>
      <c r="CQ38" s="455"/>
      <c r="CR38" s="455"/>
      <c r="CS38" s="455"/>
      <c r="CT38" s="455"/>
      <c r="CU38" s="455"/>
      <c r="CV38" s="455"/>
      <c r="CW38" s="455"/>
      <c r="CX38" s="455"/>
      <c r="CY38" s="455"/>
      <c r="CZ38" s="455"/>
      <c r="DA38" s="455"/>
      <c r="DB38" s="455"/>
      <c r="DC38" s="455"/>
      <c r="DD38" s="455"/>
      <c r="DE38" s="455"/>
      <c r="DF38" s="455"/>
      <c r="DG38" s="455"/>
      <c r="DH38" s="455"/>
      <c r="DI38" s="455"/>
      <c r="DJ38" s="455"/>
      <c r="DK38" s="455"/>
      <c r="DL38" s="455"/>
      <c r="DM38" s="455"/>
      <c r="DN38" s="455"/>
      <c r="DO38" s="455"/>
      <c r="DP38" s="455"/>
      <c r="DQ38" s="455"/>
      <c r="DR38" s="455"/>
      <c r="DS38" s="455"/>
      <c r="DT38" s="455"/>
      <c r="DU38" s="455"/>
      <c r="DV38" s="455"/>
      <c r="DW38" s="455"/>
      <c r="DX38" s="455"/>
      <c r="DY38" s="455"/>
      <c r="DZ38" s="455"/>
      <c r="EA38" s="455"/>
      <c r="EB38" s="455"/>
      <c r="EC38" s="455"/>
      <c r="ED38" s="455"/>
      <c r="EE38" s="455"/>
      <c r="EF38" s="455"/>
      <c r="EG38" s="455"/>
      <c r="EH38" s="455"/>
      <c r="EI38" s="455"/>
      <c r="EJ38" s="455"/>
      <c r="EK38" s="455"/>
      <c r="EL38" s="455"/>
      <c r="EM38" s="455"/>
      <c r="EN38" s="455"/>
      <c r="EO38" s="455"/>
      <c r="EP38" s="455"/>
      <c r="EQ38" s="455"/>
      <c r="ER38" s="455"/>
      <c r="ES38" s="455"/>
      <c r="ET38" s="455"/>
      <c r="EU38" s="455"/>
      <c r="EV38" s="455"/>
      <c r="EW38" s="455"/>
      <c r="EX38" s="455"/>
      <c r="EY38" s="455"/>
      <c r="EZ38" s="455"/>
      <c r="FA38" s="455"/>
      <c r="FB38" s="455"/>
      <c r="FC38" s="455"/>
      <c r="FD38" s="455"/>
      <c r="FE38" s="455"/>
      <c r="FF38" s="455"/>
    </row>
    <row r="39" spans="1:162" ht="18" customHeight="1" thickBot="1" x14ac:dyDescent="0.4">
      <c r="A39" s="38" t="s">
        <v>244</v>
      </c>
      <c r="B39" s="323">
        <f>B36*1.844/D6</f>
        <v>32.516419596684358</v>
      </c>
      <c r="C39" s="323">
        <f>C36*1.844/D_Buck0</f>
        <v>27.634209790209791</v>
      </c>
      <c r="D39" s="323">
        <f>D36*1.844/B6</f>
        <v>38.533346048856302</v>
      </c>
      <c r="E39" s="12" t="s">
        <v>249</v>
      </c>
      <c r="F39" s="136"/>
      <c r="G39" s="10"/>
      <c r="H39" s="10"/>
      <c r="I39" s="39"/>
      <c r="R39" s="439"/>
      <c r="S39" s="439"/>
      <c r="T39" s="455" t="s">
        <v>336</v>
      </c>
      <c r="U39" s="459">
        <f>0.5*U31*IF(U31&lt;=18,Fsw,1.5*Fsw-U31/36*Fsw)*(U31/Constants!$C$25+U31/Constants!$C$26)*10^-3*(Iout/(1-U34))</f>
        <v>2.0414557724752945E-2</v>
      </c>
      <c r="V39" s="459">
        <f>0.5*V31*IF(V31&lt;=18,Fsw,1.5*Fsw-V31/36*Fsw)*(V31/Constants!$C$25+V31/Constants!$C$26)*10^-3*(Iout/(1-V34))</f>
        <v>2.1223186309954206E-2</v>
      </c>
      <c r="W39" s="459">
        <f>0.5*W31*IF(W31&lt;=18,Fsw,1.5*Fsw-W31/36*Fsw)*(W31/Constants!$C$25+W31/Constants!$C$26)*10^-3*(Iout/(1-W34))</f>
        <v>2.2031814895155453E-2</v>
      </c>
      <c r="X39" s="459">
        <f>0.5*X31*IF(X31&lt;=18,Fsw,1.5*Fsw-X31/36*Fsw)*(X31/Constants!$C$25+X31/Constants!$C$26)*10^-3*(Iout/(1-X34))</f>
        <v>2.2840443480356715E-2</v>
      </c>
      <c r="Y39" s="459">
        <f>0.5*Y31*IF(Y31&lt;=18,Fsw,1.5*Fsw-Y31/36*Fsw)*(Y31/Constants!$C$25+Y31/Constants!$C$26)*10^-3*(Iout/(1-Y34))</f>
        <v>2.3649072065557962E-2</v>
      </c>
      <c r="Z39" s="459">
        <f>0.5*Z31*IF(Z31&lt;=18,Fsw,1.5*Fsw-Z31/36*Fsw)*(Z31/Constants!$C$25+Z31/Constants!$C$26)*10^-3*(Iout/(1-Z34))</f>
        <v>2.445770065075922E-2</v>
      </c>
      <c r="AA39" s="459">
        <f>0.5*AA31*IF(AA31&lt;=18,Fsw,1.5*Fsw-AA31/36*Fsw)*(AA31/Constants!$C$25+AA31/Constants!$C$26)*10^-3*(Iout/(1-AA34))</f>
        <v>2.526632923596047E-2</v>
      </c>
      <c r="AB39" s="459">
        <f>0.5*AB31*IF(AB31&lt;=18,Fsw,1.5*Fsw-AB31/36*Fsw)*(AB31/Constants!$C$25+AB31/Constants!$C$26)*10^-3*(Iout/(1-AB34))</f>
        <v>2.6074957821161721E-2</v>
      </c>
      <c r="AC39" s="459">
        <f>0.5*AC31*IF(AC31&lt;=18,Fsw,1.5*Fsw-AC31/36*Fsw)*(AC31/Constants!$C$25+AC31/Constants!$C$26)*10^-3*(Iout/(1-AC34))</f>
        <v>2.6883586406362962E-2</v>
      </c>
      <c r="AD39" s="459">
        <f>0.5*AD31*IF(AD31&lt;=18,Fsw,1.5*Fsw-AD31/36*Fsw)*(AD31/Constants!$C$25+AD31/Constants!$C$26)*10^-3*(Iout/(1-AD34))</f>
        <v>2.7692214991564219E-2</v>
      </c>
      <c r="AE39" s="459">
        <f>0.5*AE31*IF(AE31&lt;=18,Fsw,1.5*Fsw-AE31/36*Fsw)*(AE31/Constants!$C$25+AE31/Constants!$C$26)*10^-3*(Iout/(1-AE34))</f>
        <v>2.8500843576765477E-2</v>
      </c>
      <c r="AF39" s="459">
        <f>0.5*AF31*IF(AF31&lt;=18,Fsw,1.5*Fsw-AF31/36*Fsw)*(AF31/Constants!$C$25+AF31/Constants!$C$26)*10^-3*(Iout/(1-AF34))</f>
        <v>2.9309472161966731E-2</v>
      </c>
      <c r="AG39" s="459">
        <f>0.5*AG31*IF(AG31&lt;=18,Fsw,1.5*Fsw-AG31/36*Fsw)*(AG31/Constants!$C$25+AG31/Constants!$C$26)*10^-3*(Iout/(1-AG34))</f>
        <v>3.0118100747167979E-2</v>
      </c>
      <c r="AH39" s="459">
        <f>0.5*AH31*IF(AH31&lt;=18,Fsw,1.5*Fsw-AH31/36*Fsw)*(AH31/Constants!$C$25+AH31/Constants!$C$26)*10^-3*(Iout/(1-AH34))</f>
        <v>3.0926729332369233E-2</v>
      </c>
      <c r="AI39" s="459">
        <f>0.5*AI31*IF(AI31&lt;=18,Fsw,1.5*Fsw-AI31/36*Fsw)*(AI31/Constants!$C$25+AI31/Constants!$C$26)*10^-3*(Iout/(1-AI34))</f>
        <v>3.1735357917570491E-2</v>
      </c>
      <c r="AJ39" s="459">
        <f>0.5*AJ31*IF(AJ31&lt;=18,Fsw,1.5*Fsw-AJ31/36*Fsw)*(AJ31/Constants!$C$25+AJ31/Constants!$C$26)*10^-3*(Iout/(1-AJ34))</f>
        <v>3.2543986502771738E-2</v>
      </c>
      <c r="AK39" s="459">
        <f>0.5*AK31*IF(AK31&lt;=18,Fsw,1.5*Fsw-AK31/36*Fsw)*(AK31/Constants!$C$25+AK31/Constants!$C$26)*10^-3*(Iout/(1-AK34))</f>
        <v>3.3352615087972999E-2</v>
      </c>
      <c r="AL39" s="459">
        <f>0.5*AL31*IF(AL31&lt;=18,Fsw,1.5*Fsw-AL31/36*Fsw)*(AL31/Constants!$C$25+AL31/Constants!$C$26)*10^-3*(Iout/(1-AL34))</f>
        <v>3.4161243673174253E-2</v>
      </c>
      <c r="AM39" s="459">
        <f>0.5*AM31*IF(AM31&lt;=18,Fsw,1.5*Fsw-AM31/36*Fsw)*(AM31/Constants!$C$25+AM31/Constants!$C$26)*10^-3*(Iout/(1-AM34))</f>
        <v>3.4969872258375514E-2</v>
      </c>
      <c r="AN39" s="459">
        <f>0.5*AN31*IF(AN31&lt;=18,Fsw,1.5*Fsw-AN31/36*Fsw)*(AN31/Constants!$C$25+AN31/Constants!$C$26)*10^-3*(Iout/(1-AN34))</f>
        <v>3.5778500843576769E-2</v>
      </c>
      <c r="AO39" s="459">
        <f>0.5*AO31*IF(AO31&lt;=18,Fsw,1.5*Fsw-AO31/36*Fsw)*(AO31/Constants!$C$25+AO31/Constants!$C$26)*10^-3*(Iout/(1-AO34))</f>
        <v>3.6587129428778016E-2</v>
      </c>
      <c r="AP39" s="459">
        <f>0.5*AP31*IF(AP31&lt;=18,Fsw,1.5*Fsw-AP31/36*Fsw)*(AP31/Constants!$C$25+AP31/Constants!$C$26)*10^-3*(Iout/(1-AP34))</f>
        <v>3.7395758013979277E-2</v>
      </c>
      <c r="AQ39" s="459">
        <f>0.5*AQ31*IF(AQ31&lt;=18,Fsw,1.5*Fsw-AQ31/36*Fsw)*(AQ31/Constants!$C$25+AQ31/Constants!$C$26)*10^-3*(Iout/(1-AQ34))</f>
        <v>3.8204386599180531E-2</v>
      </c>
      <c r="AR39" s="459">
        <f>0.5*AR31*IF(AR31&lt;=18,Fsw,1.5*Fsw-AR31/36*Fsw)*(AR31/Constants!$C$25+AR31/Constants!$C$26)*10^-3*(Iout/(1-AR34))</f>
        <v>3.9013015184381793E-2</v>
      </c>
      <c r="AS39" s="459">
        <f>0.5*AS31*IF(AS31&lt;=18,Fsw,1.5*Fsw-AS31/36*Fsw)*(AS31/Constants!$C$25+AS31/Constants!$C$26)*10^-3*(Iout/(1-AS34))</f>
        <v>3.982164376958304E-2</v>
      </c>
      <c r="AT39" s="459">
        <f>0.5*AT31*IF(AT31&lt;=18,Fsw,1.5*Fsw-AT31/36*Fsw)*(AT31/Constants!$C$25+AT31/Constants!$C$26)*10^-3*(Iout/(1-AT34))</f>
        <v>4.0630272354784301E-2</v>
      </c>
      <c r="AU39" s="459">
        <f>0.5*AU31*IF(AU31&lt;=18,Fsw,1.5*Fsw-AU31/36*Fsw)*(AU31/Constants!$C$25+AU31/Constants!$C$26)*10^-3*(Iout/(1-AU34))</f>
        <v>4.1438900939985548E-2</v>
      </c>
      <c r="AV39" s="459">
        <f>0.5*AV31*IF(AV31&lt;=18,Fsw,1.5*Fsw-AV31/36*Fsw)*(AV31/Constants!$C$25+AV31/Constants!$C$26)*10^-3*(Iout/(1-AV34))</f>
        <v>4.2247529525186817E-2</v>
      </c>
      <c r="AW39" s="459">
        <f>0.5*AW31*IF(AW31&lt;=18,Fsw,1.5*Fsw-AW31/36*Fsw)*(AW31/Constants!$C$25+AW31/Constants!$C$26)*10^-3*(Iout/(1-AW34))</f>
        <v>4.3056158110388071E-2</v>
      </c>
      <c r="AX39" s="459">
        <f>0.5*AX31*IF(AX31&lt;=18,Fsw,1.5*Fsw-AX31/36*Fsw)*(AX31/Constants!$C$25+AX31/Constants!$C$26)*10^-3*(Iout/(1-AX34))</f>
        <v>4.3864786695589325E-2</v>
      </c>
      <c r="AY39" s="459">
        <f>0.5*AY31*IF(AY31&lt;=18,Fsw,1.5*Fsw-AY31/36*Fsw)*(AY31/Constants!$C$25+AY31/Constants!$C$26)*10^-3*(Iout/(1-AY34))</f>
        <v>4.4673415280790572E-2</v>
      </c>
      <c r="AZ39" s="459">
        <f>0.5*AZ31*IF(AZ31&lt;=18,Fsw,1.5*Fsw-AZ31/36*Fsw)*(AZ31/Constants!$C$25+AZ31/Constants!$C$26)*10^-3*(Iout/(1-AZ34))</f>
        <v>4.5482043865991827E-2</v>
      </c>
      <c r="BA39" s="459">
        <f>0.5*BA31*IF(BA31&lt;=18,Fsw,1.5*Fsw-BA31/36*Fsw)*(BA31/Constants!$C$25+BA31/Constants!$C$26)*10^-3*(Iout/(1-BA34))</f>
        <v>4.6290672451193095E-2</v>
      </c>
      <c r="BB39" s="459">
        <f>0.5*BB31*IF(BB31&lt;=18,Fsw,1.5*Fsw-BB31/36*Fsw)*(BB31/Constants!$C$25+BB31/Constants!$C$26)*10^-3*(Iout/(1-BB34))</f>
        <v>4.7099301036394342E-2</v>
      </c>
      <c r="BC39" s="459">
        <f>0.5*BC31*IF(BC31&lt;=18,Fsw,1.5*Fsw-BC31/36*Fsw)*(BC31/Constants!$C$25+BC31/Constants!$C$26)*10^-3*(Iout/(1-BC34))</f>
        <v>4.7907929621595589E-2</v>
      </c>
      <c r="BD39" s="459">
        <f>0.5*BD31*IF(BD31&lt;=18,Fsw,1.5*Fsw-BD31/36*Fsw)*(BD31/Constants!$C$25+BD31/Constants!$C$26)*10^-3*(Iout/(1-BD34))</f>
        <v>4.8716558206796851E-2</v>
      </c>
      <c r="BE39" s="459">
        <f>0.5*BE31*IF(BE31&lt;=18,Fsw,1.5*Fsw-BE31/36*Fsw)*(BE31/Constants!$C$25+BE31/Constants!$C$26)*10^-3*(Iout/(1-BE34))</f>
        <v>4.9525186791998105E-2</v>
      </c>
      <c r="BF39" s="459">
        <f>0.5*BF31*IF(BF31&lt;=18,Fsw,1.5*Fsw-BF31/36*Fsw)*(BF31/Constants!$C$25+BF31/Constants!$C$26)*10^-3*(Iout/(1-BF34))</f>
        <v>5.0333815377199359E-2</v>
      </c>
      <c r="BG39" s="459">
        <f>0.5*BG31*IF(BG31&lt;=18,Fsw,1.5*Fsw-BG31/36*Fsw)*(BG31/Constants!$C$25+BG31/Constants!$C$26)*10^-3*(Iout/(1-BG34))</f>
        <v>5.1142443962400613E-2</v>
      </c>
      <c r="BH39" s="459">
        <f>0.5*BH31*IF(BH31&lt;=18,Fsw,1.5*Fsw-BH31/36*Fsw)*(BH31/Constants!$C$25+BH31/Constants!$C$26)*10^-3*(Iout/(1-BH34))</f>
        <v>5.1951072547601868E-2</v>
      </c>
      <c r="BI39" s="459">
        <f>0.5*BI31*IF(BI31&lt;=18,Fsw,1.5*Fsw-BI31/36*Fsw)*(BI31/Constants!$C$25+BI31/Constants!$C$26)*10^-3*(Iout/(1-BI34))</f>
        <v>5.2759701132803129E-2</v>
      </c>
      <c r="BJ39" s="459">
        <f>0.5*BJ31*IF(BJ31&lt;=18,Fsw,1.5*Fsw-BJ31/36*Fsw)*(BJ31/Constants!$C$25+BJ31/Constants!$C$26)*10^-3*(Iout/(1-BJ34))</f>
        <v>5.3568329718004383E-2</v>
      </c>
      <c r="BK39" s="459">
        <f>0.5*BK31*IF(BK31&lt;=18,Fsw,1.5*Fsw-BK31/36*Fsw)*(BK31/Constants!$C$25+BK31/Constants!$C$26)*10^-3*(Iout/(1-BK34))</f>
        <v>5.4376958303205651E-2</v>
      </c>
      <c r="BL39" s="459">
        <f>0.5*BL31*IF(BL31&lt;=18,Fsw,1.5*Fsw-BL31/36*Fsw)*(BL31/Constants!$C$25+BL31/Constants!$C$26)*10^-3*(Iout/(1-BL34))</f>
        <v>5.5185586888406905E-2</v>
      </c>
      <c r="BM39" s="459">
        <f>0.5*BM31*IF(BM31&lt;=18,Fsw,1.5*Fsw-BM31/36*Fsw)*(BM31/Constants!$C$25+BM31/Constants!$C$26)*10^-3*(Iout/(1-BM34))</f>
        <v>5.5994215473608139E-2</v>
      </c>
      <c r="BN39" s="459">
        <f>0.5*BN31*IF(BN31&lt;=18,Fsw,1.5*Fsw-BN31/36*Fsw)*(BN31/Constants!$C$25+BN31/Constants!$C$26)*10^-3*(Iout/(1-BN34))</f>
        <v>5.7248717403628226E-2</v>
      </c>
      <c r="BO39" s="459">
        <f>0.5*BO31*IF(BO31&lt;=18,Fsw,1.5*Fsw-BO31/36*Fsw)*(BO31/Constants!$C$25+BO31/Constants!$C$26)*10^-3*(Iout/(1-BO34))</f>
        <v>5.8890270975056801E-2</v>
      </c>
      <c r="BP39" s="459">
        <f>0.5*BP31*IF(BP31&lt;=18,Fsw,1.5*Fsw-BP31/36*Fsw)*(BP31/Constants!$C$25+BP31/Constants!$C$26)*10^-3*(Iout/(1-BP34))</f>
        <v>6.0555028061224619E-2</v>
      </c>
      <c r="BQ39" s="459">
        <f>0.5*BQ31*IF(BQ31&lt;=18,Fsw,1.5*Fsw-BQ31/36*Fsw)*(BQ31/Constants!$C$25+BQ31/Constants!$C$26)*10^-3*(Iout/(1-BQ34))</f>
        <v>6.2242988662131647E-2</v>
      </c>
      <c r="BR39" s="459">
        <f>0.5*BR31*IF(BR31&lt;=18,Fsw,1.5*Fsw-BR31/36*Fsw)*(BR31/Constants!$C$25+BR31/Constants!$C$26)*10^-3*(Iout/(1-BR34))</f>
        <v>6.3954152777777898E-2</v>
      </c>
      <c r="BS39" s="459">
        <f>0.5*BS31*IF(BS31&lt;=18,Fsw,1.5*Fsw-BS31/36*Fsw)*(BS31/Constants!$C$25+BS31/Constants!$C$26)*10^-3*(Iout/(1-BS34))</f>
        <v>6.5688520408163392E-2</v>
      </c>
      <c r="BT39" s="459">
        <f>0.5*BT31*IF(BT31&lt;=18,Fsw,1.5*Fsw-BT31/36*Fsw)*(BT31/Constants!$C$25+BT31/Constants!$C$26)*10^-3*(Iout/(1-BT34))</f>
        <v>6.7446091553288082E-2</v>
      </c>
      <c r="BU39" s="459">
        <f>0.5*BU31*IF(BU31&lt;=18,Fsw,1.5*Fsw-BU31/36*Fsw)*(BU31/Constants!$C$25+BU31/Constants!$C$26)*10^-3*(Iout/(1-BU34))</f>
        <v>6.9226866213152036E-2</v>
      </c>
      <c r="BV39" s="459">
        <f>0.5*BV31*IF(BV31&lt;=18,Fsw,1.5*Fsw-BV31/36*Fsw)*(BV31/Constants!$C$25+BV31/Constants!$C$26)*10^-3*(Iout/(1-BV34))</f>
        <v>7.1030844387755199E-2</v>
      </c>
      <c r="BW39" s="459">
        <f>0.5*BW31*IF(BW31&lt;=18,Fsw,1.5*Fsw-BW31/36*Fsw)*(BW31/Constants!$C$25+BW31/Constants!$C$26)*10^-3*(Iout/(1-BW34))</f>
        <v>7.2858026077097585E-2</v>
      </c>
      <c r="BX39" s="459">
        <f>0.5*BX31*IF(BX31&lt;=18,Fsw,1.5*Fsw-BX31/36*Fsw)*(BX31/Constants!$C$25+BX31/Constants!$C$26)*10^-3*(Iout/(1-BX34))</f>
        <v>7.4708411281179207E-2</v>
      </c>
      <c r="BY39" s="459">
        <f>0.5*BY31*IF(BY31&lt;=18,Fsw,1.5*Fsw-BY31/36*Fsw)*(BY31/Constants!$C$25+BY31/Constants!$C$26)*10^-3*(Iout/(1-BY34))</f>
        <v>7.6582000000000053E-2</v>
      </c>
      <c r="BZ39" s="459">
        <f>0.5*BZ31*IF(BZ31&lt;=18,Fsw,1.5*Fsw-BZ31/36*Fsw)*(BZ31/Constants!$C$25+BZ31/Constants!$C$26)*10^-3*(Iout/(1-BZ34))</f>
        <v>7.8478792233560149E-2</v>
      </c>
      <c r="CA39" s="459">
        <f>0.5*CA31*IF(CA31&lt;=18,Fsw,1.5*Fsw-CA31/36*Fsw)*(CA31/Constants!$C$25+CA31/Constants!$C$26)*10^-3*(Iout/(1-CA34))</f>
        <v>8.0095697312880229E-2</v>
      </c>
      <c r="CB39" s="459">
        <f>0.5*CB31*IF(CB31&lt;=18,Fsw,1.5*Fsw-CB31/36*Fsw)*(CB31/Constants!$C$25+CB31/Constants!$C$26)*10^-3*(Iout/(1-CB34))</f>
        <v>8.1533271298742743E-2</v>
      </c>
      <c r="CC39" s="459">
        <f>0.5*CC31*IF(CC31&lt;=18,Fsw,1.5*Fsw-CC31/36*Fsw)*(CC31/Constants!$C$25+CC31/Constants!$C$26)*10^-3*(Iout/(1-CC34))</f>
        <v>8.2970161609617413E-2</v>
      </c>
      <c r="CD39" s="459">
        <f>0.5*CD31*IF(CD31&lt;=18,Fsw,1.5*Fsw-CD31/36*Fsw)*(CD31/Constants!$C$25+CD31/Constants!$C$26)*10^-3*(Iout/(1-CD34))</f>
        <v>8.4405946991218797E-2</v>
      </c>
      <c r="CE39" s="459">
        <f>0.5*CE31*IF(CE31&lt;=18,Fsw,1.5*Fsw-CE31/36*Fsw)*(CE31/Constants!$C$25+CE31/Constants!$C$26)*10^-3*(Iout/(1-CE34))</f>
        <v>8.5840206189261442E-2</v>
      </c>
      <c r="CF39" s="459">
        <f>0.5*CF31*IF(CF31&lt;=18,Fsw,1.5*Fsw-CF31/36*Fsw)*(CF31/Constants!$C$25+CF31/Constants!$C$26)*10^-3*(Iout/(1-CF34))</f>
        <v>8.727251794945988E-2</v>
      </c>
      <c r="CG39" s="459">
        <f>0.5*CG31*IF(CG31&lt;=18,Fsw,1.5*Fsw-CG31/36*Fsw)*(CG31/Constants!$C$25+CG31/Constants!$C$26)*10^-3*(Iout/(1-CG34))</f>
        <v>8.8702461017528697E-2</v>
      </c>
      <c r="CH39" s="459">
        <f>0.5*CH31*IF(CH31&lt;=18,Fsw,1.5*Fsw-CH31/36*Fsw)*(CH31/Constants!$C$25+CH31/Constants!$C$26)*10^-3*(Iout/(1-CH34))</f>
        <v>9.0129614139182454E-2</v>
      </c>
      <c r="CI39" s="459">
        <f>0.5*CI31*IF(CI31&lt;=18,Fsw,1.5*Fsw-CI31/36*Fsw)*(CI31/Constants!$C$25+CI31/Constants!$C$26)*10^-3*(Iout/(1-CI34))</f>
        <v>9.1553556060135682E-2</v>
      </c>
      <c r="CJ39" s="459">
        <f>0.5*CJ31*IF(CJ31&lt;=18,Fsw,1.5*Fsw-CJ31/36*Fsw)*(CJ31/Constants!$C$25+CJ31/Constants!$C$26)*10^-3*(Iout/(1-CJ34))</f>
        <v>9.2973865526102942E-2</v>
      </c>
      <c r="CK39" s="459">
        <f>0.5*CK31*IF(CK31&lt;=18,Fsw,1.5*Fsw-CK31/36*Fsw)*(CK31/Constants!$C$25+CK31/Constants!$C$26)*10^-3*(Iout/(1-CK34))</f>
        <v>9.4390121282798792E-2</v>
      </c>
      <c r="CL39" s="459">
        <f>0.5*CL31*IF(CL31&lt;=18,Fsw,1.5*Fsw-CL31/36*Fsw)*(CL31/Constants!$C$25+CL31/Constants!$C$26)*10^-3*(Iout/(1-CL34))</f>
        <v>9.5801902075937792E-2</v>
      </c>
      <c r="CM39" s="459">
        <f>0.5*CM31*IF(CM31&lt;=18,Fsw,1.5*Fsw-CM31/36*Fsw)*(CM31/Constants!$C$25+CM31/Constants!$C$26)*10^-3*(Iout/(1-CM34))</f>
        <v>9.7208786651234516E-2</v>
      </c>
      <c r="CN39" s="459">
        <f>0.5*CN31*IF(CN31&lt;=18,Fsw,1.5*Fsw-CN31/36*Fsw)*(CN31/Constants!$C$25+CN31/Constants!$C$26)*10^-3*(Iout/(1-CN34))</f>
        <v>9.861035375440351E-2</v>
      </c>
      <c r="CO39" s="459">
        <f>0.5*CO31*IF(CO31&lt;=18,Fsw,1.5*Fsw-CO31/36*Fsw)*(CO31/Constants!$C$25+CO31/Constants!$C$26)*10^-3*(Iout/(1-CO34))</f>
        <v>0.10000618213115928</v>
      </c>
      <c r="CP39" s="459">
        <f>0.5*CP31*IF(CP31&lt;=18,Fsw,1.5*Fsw-CP31/36*Fsw)*(CP31/Constants!$C$25+CP31/Constants!$C$26)*10^-3*(Iout/(1-CP34))</f>
        <v>0.10139585052721645</v>
      </c>
      <c r="CQ39" s="459">
        <f>0.5*CQ31*IF(CQ31&lt;=18,Fsw,1.5*Fsw-CQ31/36*Fsw)*(CQ31/Constants!$C$25+CQ31/Constants!$C$26)*10^-3*(Iout/(1-CQ34))</f>
        <v>0.10277893768828954</v>
      </c>
      <c r="CR39" s="459">
        <f>0.5*CR31*IF(CR31&lt;=18,Fsw,1.5*Fsw-CR31/36*Fsw)*(CR31/Constants!$C$25+CR31/Constants!$C$26)*10^-3*(Iout/(1-CR34))</f>
        <v>0.10415502236009311</v>
      </c>
      <c r="CS39" s="459">
        <f>0.5*CS31*IF(CS31&lt;=18,Fsw,1.5*Fsw-CS31/36*Fsw)*(CS31/Constants!$C$25+CS31/Constants!$C$26)*10^-3*(Iout/(1-CS34))</f>
        <v>0.1055236832883417</v>
      </c>
      <c r="CT39" s="459">
        <f>0.5*CT31*IF(CT31&lt;=18,Fsw,1.5*Fsw-CT31/36*Fsw)*(CT31/Constants!$C$25+CT31/Constants!$C$26)*10^-3*(Iout/(1-CT34))</f>
        <v>0.1068844992187499</v>
      </c>
      <c r="CU39" s="459">
        <f>0.5*CU31*IF(CU31&lt;=18,Fsw,1.5*Fsw-CU31/36*Fsw)*(CU31/Constants!$C$25+CU31/Constants!$C$26)*10^-3*(Iout/(1-CU34))</f>
        <v>0.10823704889703226</v>
      </c>
      <c r="CV39" s="459">
        <f>0.5*CV31*IF(CV31&lt;=18,Fsw,1.5*Fsw-CV31/36*Fsw)*(CV31/Constants!$C$25+CV31/Constants!$C$26)*10^-3*(Iout/(1-CV34))</f>
        <v>0.1095809110689033</v>
      </c>
      <c r="CW39" s="459">
        <f>0.5*CW31*IF(CW31&lt;=18,Fsw,1.5*Fsw-CW31/36*Fsw)*(CW31/Constants!$C$25+CW31/Constants!$C$26)*10^-3*(Iout/(1-CW34))</f>
        <v>0.11091566448007764</v>
      </c>
      <c r="CX39" s="459">
        <f>0.5*CX31*IF(CX31&lt;=18,Fsw,1.5*Fsw-CX31/36*Fsw)*(CX31/Constants!$C$25+CX31/Constants!$C$26)*10^-3*(Iout/(1-CX34))</f>
        <v>0.11224088787626975</v>
      </c>
      <c r="CY39" s="459">
        <f>0.5*CY31*IF(CY31&lt;=18,Fsw,1.5*Fsw-CY31/36*Fsw)*(CY31/Constants!$C$25+CY31/Constants!$C$26)*10^-3*(Iout/(1-CY34))</f>
        <v>0.11355616000319427</v>
      </c>
      <c r="CZ39" s="459">
        <f>0.5*CZ31*IF(CZ31&lt;=18,Fsw,1.5*Fsw-CZ31/36*Fsw)*(CZ31/Constants!$C$25+CZ31/Constants!$C$26)*10^-3*(Iout/(1-CZ34))</f>
        <v>0.11486105960656572</v>
      </c>
      <c r="DA39" s="459">
        <f>0.5*DA31*IF(DA31&lt;=18,Fsw,1.5*Fsw-DA31/36*Fsw)*(DA31/Constants!$C$25+DA31/Constants!$C$26)*10^-3*(Iout/(1-DA34))</f>
        <v>0.11615516543209861</v>
      </c>
      <c r="DB39" s="459">
        <f>0.5*DB31*IF(DB31&lt;=18,Fsw,1.5*Fsw-DB31/36*Fsw)*(DB31/Constants!$C$25+DB31/Constants!$C$26)*10^-3*(Iout/(1-DB34))</f>
        <v>0.11743805622550758</v>
      </c>
      <c r="DC39" s="459">
        <f>0.5*DC31*IF(DC31&lt;=18,Fsw,1.5*Fsw-DC31/36*Fsw)*(DC31/Constants!$C$25+DC31/Constants!$C$26)*10^-3*(Iout/(1-DC34))</f>
        <v>0.11870931073250715</v>
      </c>
      <c r="DD39" s="459">
        <f>0.5*DD31*IF(DD31&lt;=18,Fsw,1.5*Fsw-DD31/36*Fsw)*(DD31/Constants!$C$25+DD31/Constants!$C$26)*10^-3*(Iout/(1-DD34))</f>
        <v>0.11996850769881187</v>
      </c>
      <c r="DE39" s="459">
        <f>0.5*DE31*IF(DE31&lt;=18,Fsw,1.5*Fsw-DE31/36*Fsw)*(DE31/Constants!$C$25+DE31/Constants!$C$26)*10^-3*(Iout/(1-DE34))</f>
        <v>0.12121522587013626</v>
      </c>
      <c r="DF39" s="459">
        <f>0.5*DF31*IF(DF31&lt;=18,Fsw,1.5*Fsw-DF31/36*Fsw)*(DF31/Constants!$C$25+DF31/Constants!$C$26)*10^-3*(Iout/(1-DF34))</f>
        <v>0.12244904399219493</v>
      </c>
      <c r="DG39" s="459">
        <f>0.5*DG31*IF(DG31&lt;=18,Fsw,1.5*Fsw-DG31/36*Fsw)*(DG31/Constants!$C$25+DG31/Constants!$C$26)*10^-3*(Iout/(1-DG34))</f>
        <v>0.12366954081070243</v>
      </c>
      <c r="DH39" s="459">
        <f>0.5*DH31*IF(DH31&lt;=18,Fsw,1.5*Fsw-DH31/36*Fsw)*(DH31/Constants!$C$25+DH31/Constants!$C$26)*10^-3*(Iout/(1-DH34))</f>
        <v>0.12487629507137331</v>
      </c>
      <c r="DI39" s="459">
        <f>0.5*DI31*IF(DI31&lt;=18,Fsw,1.5*Fsw-DI31/36*Fsw)*(DI31/Constants!$C$25+DI31/Constants!$C$26)*10^-3*(Iout/(1-DI34))</f>
        <v>0.1260688855199221</v>
      </c>
      <c r="DJ39" s="459">
        <f>0.5*DJ31*IF(DJ31&lt;=18,Fsw,1.5*Fsw-DJ31/36*Fsw)*(DJ31/Constants!$C$25+DJ31/Constants!$C$26)*10^-3*(Iout/(1-DJ34))</f>
        <v>0.12724689090206337</v>
      </c>
      <c r="DK39" s="459">
        <f>0.5*DK31*IF(DK31&lt;=18,Fsw,1.5*Fsw-DK31/36*Fsw)*(DK31/Constants!$C$25+DK31/Constants!$C$26)*10^-3*(Iout/(1-DK34))</f>
        <v>0.12840988996351169</v>
      </c>
      <c r="DL39" s="459">
        <f>0.5*DL31*IF(DL31&lt;=18,Fsw,1.5*Fsw-DL31/36*Fsw)*(DL31/Constants!$C$25+DL31/Constants!$C$26)*10^-3*(Iout/(1-DL34))</f>
        <v>0.12955746144998162</v>
      </c>
      <c r="DM39" s="459">
        <f>0.5*DM31*IF(DM31&lt;=18,Fsw,1.5*Fsw-DM31/36*Fsw)*(DM31/Constants!$C$25+DM31/Constants!$C$26)*10^-3*(Iout/(1-DM34))</f>
        <v>0.13068918410718769</v>
      </c>
      <c r="DN39" s="459">
        <f>0.5*DN31*IF(DN31&lt;=18,Fsw,1.5*Fsw-DN31/36*Fsw)*(DN31/Constants!$C$25+DN31/Constants!$C$26)*10^-3*(Iout/(1-DN34))</f>
        <v>0.13180463668084444</v>
      </c>
      <c r="DO39" s="459">
        <f>0.5*DO31*IF(DO31&lt;=18,Fsw,1.5*Fsw-DO31/36*Fsw)*(DO31/Constants!$C$25+DO31/Constants!$C$26)*10^-3*(Iout/(1-DO34))</f>
        <v>0.13290339791666647</v>
      </c>
      <c r="DP39" s="459">
        <f>0.5*DP31*IF(DP31&lt;=18,Fsw,1.5*Fsw-DP31/36*Fsw)*(DP31/Constants!$C$25+DP31/Constants!$C$26)*10^-3*(Iout/(1-DP34))</f>
        <v>0.13398504656036833</v>
      </c>
      <c r="DQ39" s="459">
        <f>0.5*DQ31*IF(DQ31&lt;=18,Fsw,1.5*Fsw-DQ31/36*Fsw)*(DQ31/Constants!$C$25+DQ31/Constants!$C$26)*10^-3*(Iout/(1-DQ34))</f>
        <v>0.13504916135766457</v>
      </c>
      <c r="DR39" s="459">
        <f>0.5*DR31*IF(DR31&lt;=18,Fsw,1.5*Fsw-DR31/36*Fsw)*(DR31/Constants!$C$25+DR31/Constants!$C$26)*10^-3*(Iout/(1-DR34))</f>
        <v>0.13609532105426972</v>
      </c>
      <c r="DS39" s="459">
        <f>0.5*DS31*IF(DS31&lt;=18,Fsw,1.5*Fsw-DS31/36*Fsw)*(DS31/Constants!$C$25+DS31/Constants!$C$26)*10^-3*(Iout/(1-DS34))</f>
        <v>0.13712310439589839</v>
      </c>
      <c r="DT39" s="459">
        <f>0.5*DT31*IF(DT31&lt;=18,Fsw,1.5*Fsw-DT31/36*Fsw)*(DT31/Constants!$C$25+DT31/Constants!$C$26)*10^-3*(Iout/(1-DT34))</f>
        <v>0.13813209012826505</v>
      </c>
      <c r="DU39" s="459">
        <f>0.5*DU31*IF(DU31&lt;=18,Fsw,1.5*Fsw-DU31/36*Fsw)*(DU31/Constants!$C$25+DU31/Constants!$C$26)*10^-3*(Iout/(1-DU34))</f>
        <v>0.13912185699708438</v>
      </c>
      <c r="DV39" s="459">
        <f>0.5*DV31*IF(DV31&lt;=18,Fsw,1.5*Fsw-DV31/36*Fsw)*(DV31/Constants!$C$25+DV31/Constants!$C$26)*10^-3*(Iout/(1-DV34))</f>
        <v>0.1400919837480708</v>
      </c>
      <c r="DW39" s="459">
        <f>0.5*DW31*IF(DW31&lt;=18,Fsw,1.5*Fsw-DW31/36*Fsw)*(DW31/Constants!$C$25+DW31/Constants!$C$26)*10^-3*(Iout/(1-DW34))</f>
        <v>0.14104204912693893</v>
      </c>
      <c r="DX39" s="459">
        <f>0.5*DX31*IF(DX31&lt;=18,Fsw,1.5*Fsw-DX31/36*Fsw)*(DX31/Constants!$C$25+DX31/Constants!$C$26)*10^-3*(Iout/(1-DX34))</f>
        <v>0.14197163187940334</v>
      </c>
      <c r="DY39" s="459">
        <f>0.5*DY31*IF(DY31&lt;=18,Fsw,1.5*Fsw-DY31/36*Fsw)*(DY31/Constants!$C$25+DY31/Constants!$C$26)*10^-3*(Iout/(1-DY34))</f>
        <v>0.14288031075117857</v>
      </c>
      <c r="DZ39" s="459">
        <f>0.5*DZ31*IF(DZ31&lt;=18,Fsw,1.5*Fsw-DZ31/36*Fsw)*(DZ31/Constants!$C$25+DZ31/Constants!$C$26)*10^-3*(Iout/(1-DZ34))</f>
        <v>0.14376766448797917</v>
      </c>
      <c r="EA39" s="459">
        <f>0.5*EA31*IF(EA31&lt;=18,Fsw,1.5*Fsw-EA31/36*Fsw)*(EA31/Constants!$C$25+EA31/Constants!$C$26)*10^-3*(Iout/(1-EA34))</f>
        <v>0.14463327183551974</v>
      </c>
      <c r="EB39" s="459">
        <f>0.5*EB31*IF(EB31&lt;=18,Fsw,1.5*Fsw-EB31/36*Fsw)*(EB31/Constants!$C$25+EB31/Constants!$C$26)*10^-3*(Iout/(1-EB34))</f>
        <v>0.14547671153951475</v>
      </c>
      <c r="EC39" s="459">
        <f>0.5*EC31*IF(EC31&lt;=18,Fsw,1.5*Fsw-EC31/36*Fsw)*(EC31/Constants!$C$25+EC31/Constants!$C$26)*10^-3*(Iout/(1-EC34))</f>
        <v>0.14629756234567884</v>
      </c>
      <c r="ED39" s="459">
        <f>0.5*ED31*IF(ED31&lt;=18,Fsw,1.5*Fsw-ED31/36*Fsw)*(ED31/Constants!$C$25+ED31/Constants!$C$26)*10^-3*(Iout/(1-ED34))</f>
        <v>0.14709540299972651</v>
      </c>
      <c r="EE39" s="459">
        <f>0.5*EE31*IF(EE31&lt;=18,Fsw,1.5*Fsw-EE31/36*Fsw)*(EE31/Constants!$C$25+EE31/Constants!$C$26)*10^-3*(Iout/(1-EE34))</f>
        <v>0.14786981224737228</v>
      </c>
      <c r="EF39" s="459">
        <f>0.5*EF31*IF(EF31&lt;=18,Fsw,1.5*Fsw-EF31/36*Fsw)*(EF31/Constants!$C$25+EF31/Constants!$C$26)*10^-3*(Iout/(1-EF34))</f>
        <v>0.14862036883433083</v>
      </c>
      <c r="EG39" s="459">
        <f>0.5*EG31*IF(EG31&lt;=18,Fsw,1.5*Fsw-EG31/36*Fsw)*(EG31/Constants!$C$25+EG31/Constants!$C$26)*10^-3*(Iout/(1-EG34))</f>
        <v>0.14934665150631662</v>
      </c>
      <c r="EH39" s="459">
        <f>0.5*EH31*IF(EH31&lt;=18,Fsw,1.5*Fsw-EH31/36*Fsw)*(EH31/Constants!$C$25+EH31/Constants!$C$26)*10^-3*(Iout/(1-EH34))</f>
        <v>0.15004823900904424</v>
      </c>
      <c r="EI39" s="459">
        <f>0.5*EI31*IF(EI31&lt;=18,Fsw,1.5*Fsw-EI31/36*Fsw)*(EI31/Constants!$C$25+EI31/Constants!$C$26)*10^-3*(Iout/(1-EI34))</f>
        <v>0.15072471008822824</v>
      </c>
      <c r="EJ39" s="459">
        <f>0.5*EJ31*IF(EJ31&lt;=18,Fsw,1.5*Fsw-EJ31/36*Fsw)*(EJ31/Constants!$C$25+EJ31/Constants!$C$26)*10^-3*(Iout/(1-EJ34))</f>
        <v>0.15137564348958316</v>
      </c>
      <c r="EK39" s="459">
        <f>0.5*EK31*IF(EK31&lt;=18,Fsw,1.5*Fsw-EK31/36*Fsw)*(EK31/Constants!$C$25+EK31/Constants!$C$26)*10^-3*(Iout/(1-EK34))</f>
        <v>0.15200061795882364</v>
      </c>
      <c r="EL39" s="459">
        <f>0.5*EL31*IF(EL31&lt;=18,Fsw,1.5*Fsw-EL31/36*Fsw)*(EL31/Constants!$C$25+EL31/Constants!$C$26)*10^-3*(Iout/(1-EL34))</f>
        <v>0.15259921224166403</v>
      </c>
      <c r="EM39" s="459">
        <f>0.5*EM31*IF(EM31&lt;=18,Fsw,1.5*Fsw-EM31/36*Fsw)*(EM31/Constants!$C$25+EM31/Constants!$C$26)*10^-3*(Iout/(1-EM34))</f>
        <v>0.15317100508381909</v>
      </c>
      <c r="EN39" s="459">
        <f>0.5*EN31*IF(EN31&lt;=18,Fsw,1.5*Fsw-EN31/36*Fsw)*(EN31/Constants!$C$25+EN31/Constants!$C$26)*10^-3*(Iout/(1-EN34))</f>
        <v>0.15371557523100329</v>
      </c>
      <c r="EO39" s="459">
        <f>0.5*EO31*IF(EO31&lt;=18,Fsw,1.5*Fsw-EO31/36*Fsw)*(EO31/Constants!$C$25+EO31/Constants!$C$26)*10^-3*(Iout/(1-EO34))</f>
        <v>0.15423250142893122</v>
      </c>
      <c r="EP39" s="459">
        <f>0.5*EP31*IF(EP31&lt;=18,Fsw,1.5*Fsw-EP31/36*Fsw)*(EP31/Constants!$C$25+EP31/Constants!$C$26)*10^-3*(Iout/(1-EP34))</f>
        <v>0.15472136242331744</v>
      </c>
      <c r="EQ39" s="459">
        <f>0.5*EQ31*IF(EQ31&lt;=18,Fsw,1.5*Fsw-EQ31/36*Fsw)*(EQ31/Constants!$C$25+EQ31/Constants!$C$26)*10^-3*(Iout/(1-EQ34))</f>
        <v>0.15518173695987644</v>
      </c>
      <c r="ER39" s="459">
        <f>0.5*ER31*IF(ER31&lt;=18,Fsw,1.5*Fsw-ER31/36*Fsw)*(ER31/Constants!$C$25+ER31/Constants!$C$26)*10^-3*(Iout/(1-ER34))</f>
        <v>0.15561320378432283</v>
      </c>
      <c r="ES39" s="459">
        <f>0.5*ES31*IF(ES31&lt;=18,Fsw,1.5*Fsw-ES31/36*Fsw)*(ES31/Constants!$C$25+ES31/Constants!$C$26)*10^-3*(Iout/(1-ES34))</f>
        <v>0.15601534164237113</v>
      </c>
      <c r="ET39" s="459">
        <f>0.5*ET31*IF(ET31&lt;=18,Fsw,1.5*Fsw-ET31/36*Fsw)*(ET31/Constants!$C$25+ET31/Constants!$C$26)*10^-3*(Iout/(1-ET34))</f>
        <v>0.15638772927973596</v>
      </c>
      <c r="EU39" s="459">
        <f>0.5*EU31*IF(EU31&lt;=18,Fsw,1.5*Fsw-EU31/36*Fsw)*(EU31/Constants!$C$25+EU31/Constants!$C$26)*10^-3*(Iout/(1-EU34))</f>
        <v>0.15672994544213181</v>
      </c>
      <c r="EV39" s="459">
        <f>0.5*EV31*IF(EV31&lt;=18,Fsw,1.5*Fsw-EV31/36*Fsw)*(EV31/Constants!$C$25+EV31/Constants!$C$26)*10^-3*(Iout/(1-EV34))</f>
        <v>0.15704156887527324</v>
      </c>
      <c r="EW39" s="459">
        <f>0.5*EW31*IF(EW31&lt;=18,Fsw,1.5*Fsw-EW31/36*Fsw)*(EW31/Constants!$C$25+EW31/Constants!$C$26)*10^-3*(Iout/(1-EW34))</f>
        <v>0.15732217832487486</v>
      </c>
      <c r="EX39" s="459">
        <f>0.5*EX31*IF(EX31&lt;=18,Fsw,1.5*Fsw-EX31/36*Fsw)*(EX31/Constants!$C$25+EX31/Constants!$C$26)*10^-3*(Iout/(1-EX34))</f>
        <v>0.15757135253665117</v>
      </c>
      <c r="EY39" s="459">
        <f>0.5*EY31*IF(EY31&lt;=18,Fsw,1.5*Fsw-EY31/36*Fsw)*(EY31/Constants!$C$25+EY31/Constants!$C$26)*10^-3*(Iout/(1-EY34))</f>
        <v>0.15778867025631679</v>
      </c>
      <c r="EZ39" s="459">
        <f>0.5*EZ31*IF(EZ31&lt;=18,Fsw,1.5*Fsw-EZ31/36*Fsw)*(EZ31/Constants!$C$25+EZ31/Constants!$C$26)*10^-3*(Iout/(1-EZ34))</f>
        <v>0.15797371022958617</v>
      </c>
      <c r="FA39" s="459">
        <f>0.5*FA31*IF(FA31&lt;=18,Fsw,1.5*Fsw-FA31/36*Fsw)*(FA31/Constants!$C$25+FA31/Constants!$C$26)*10^-3*(Iout/(1-FA34))</f>
        <v>0.15812605120217402</v>
      </c>
      <c r="FB39" s="459">
        <f>0.5*FB31*IF(FB31&lt;=18,Fsw,1.5*Fsw-FB31/36*Fsw)*(FB31/Constants!$C$25+FB31/Constants!$C$26)*10^-3*(Iout/(1-FB34))</f>
        <v>0.15824527191979473</v>
      </c>
      <c r="FC39" s="459">
        <f>0.5*FC31*IF(FC31&lt;=18,Fsw,1.5*Fsw-FC31/36*Fsw)*(FC31/Constants!$C$25+FC31/Constants!$C$26)*10^-3*(Iout/(1-FC34))</f>
        <v>0.15833095112816295</v>
      </c>
      <c r="FD39" s="459">
        <f>0.5*FD31*IF(FD31&lt;=18,Fsw,1.5*Fsw-FD31/36*Fsw)*(FD31/Constants!$C$25+FD31/Constants!$C$26)*10^-3*(Iout/(1-FD34))</f>
        <v>0.15838266757299319</v>
      </c>
      <c r="FE39" s="459">
        <f>0.5*FE31*IF(FE31&lt;=18,Fsw,1.5*Fsw-FE31/36*Fsw)*(FE31/Constants!$C$25+FE31/Constants!$C$26)*10^-3*(Iout/(1-FE34))</f>
        <v>0.15840000000000004</v>
      </c>
      <c r="FF39" s="455"/>
    </row>
    <row r="40" spans="1:162" ht="18" customHeight="1" thickBot="1" x14ac:dyDescent="0.4">
      <c r="A40" s="81" t="s">
        <v>245</v>
      </c>
      <c r="B40" s="323"/>
      <c r="C40" s="242">
        <v>28</v>
      </c>
      <c r="D40" s="230" t="s">
        <v>251</v>
      </c>
      <c r="E40" s="79" t="s">
        <v>250</v>
      </c>
      <c r="F40" s="136"/>
      <c r="G40" s="10"/>
      <c r="H40" s="10"/>
      <c r="I40" s="39"/>
      <c r="R40" s="439"/>
      <c r="S40" s="439"/>
      <c r="T40" s="455" t="s">
        <v>337</v>
      </c>
      <c r="U40" s="457">
        <f t="shared" ref="U40:AZ40" ca="1" si="28">U44/1000*(Iout^2+U36^2/12)*U33/(1-U34)^2</f>
        <v>0.95784777069314464</v>
      </c>
      <c r="V40" s="457">
        <f t="shared" ca="1" si="28"/>
        <v>0.86282405914604399</v>
      </c>
      <c r="W40" s="457">
        <f t="shared" ca="1" si="28"/>
        <v>0.78242295313980725</v>
      </c>
      <c r="X40" s="457">
        <f t="shared" ca="1" si="28"/>
        <v>0.71360493744425801</v>
      </c>
      <c r="Y40" s="457">
        <f t="shared" ca="1" si="28"/>
        <v>0.6541176901546002</v>
      </c>
      <c r="Z40" s="457">
        <f t="shared" ca="1" si="28"/>
        <v>0.60225499930082815</v>
      </c>
      <c r="AA40" s="457">
        <f t="shared" ca="1" si="28"/>
        <v>0.55669990696755511</v>
      </c>
      <c r="AB40" s="457">
        <f t="shared" ca="1" si="28"/>
        <v>0.51641936695113144</v>
      </c>
      <c r="AC40" s="457">
        <f t="shared" ca="1" si="28"/>
        <v>0.48059156067052</v>
      </c>
      <c r="AD40" s="457">
        <f t="shared" ca="1" si="28"/>
        <v>0.44855456299951196</v>
      </c>
      <c r="AE40" s="457">
        <f t="shared" ca="1" si="28"/>
        <v>0.41976934097615015</v>
      </c>
      <c r="AF40" s="457">
        <f t="shared" ca="1" si="28"/>
        <v>0.39379260068324479</v>
      </c>
      <c r="AG40" s="457">
        <f t="shared" ca="1" si="28"/>
        <v>0.37025654093712024</v>
      </c>
      <c r="AH40" s="457">
        <f t="shared" ca="1" si="28"/>
        <v>0.34885354002750718</v>
      </c>
      <c r="AI40" s="457">
        <f t="shared" ca="1" si="28"/>
        <v>0.32932442379487425</v>
      </c>
      <c r="AJ40" s="457">
        <f t="shared" ca="1" si="28"/>
        <v>0.31144937226702757</v>
      </c>
      <c r="AK40" s="457">
        <f t="shared" ca="1" si="28"/>
        <v>0.29504079636754316</v>
      </c>
      <c r="AL40" s="457">
        <f t="shared" ca="1" si="28"/>
        <v>0.27993770355568781</v>
      </c>
      <c r="AM40" s="457">
        <f t="shared" ca="1" si="28"/>
        <v>0.26600120134595739</v>
      </c>
      <c r="AN40" s="457">
        <f t="shared" ca="1" si="28"/>
        <v>0.2531108793534973</v>
      </c>
      <c r="AO40" s="457">
        <f t="shared" ca="1" si="28"/>
        <v>0.24116187604563227</v>
      </c>
      <c r="AP40" s="457">
        <f t="shared" ca="1" si="28"/>
        <v>0.23006248381245661</v>
      </c>
      <c r="AQ40" s="457">
        <f t="shared" ca="1" si="28"/>
        <v>0.21973218070487324</v>
      </c>
      <c r="AR40" s="457">
        <f t="shared" ca="1" si="28"/>
        <v>0.21010000290290018</v>
      </c>
      <c r="AS40" s="457">
        <f t="shared" ca="1" si="28"/>
        <v>0.20110319120602368</v>
      </c>
      <c r="AT40" s="457">
        <f t="shared" ca="1" si="28"/>
        <v>0.1926860593521951</v>
      </c>
      <c r="AU40" s="457">
        <f t="shared" ca="1" si="28"/>
        <v>0.18479904302494304</v>
      </c>
      <c r="AV40" s="457">
        <f t="shared" ca="1" si="28"/>
        <v>0.17739789689410387</v>
      </c>
      <c r="AW40" s="457">
        <f t="shared" ca="1" si="28"/>
        <v>0.17044301360136374</v>
      </c>
      <c r="AX40" s="457">
        <f t="shared" ca="1" si="28"/>
        <v>0.16389884371866142</v>
      </c>
      <c r="AY40" s="457">
        <f t="shared" ca="1" si="28"/>
        <v>0.15774291450980868</v>
      </c>
      <c r="AZ40" s="457">
        <f t="shared" ca="1" si="28"/>
        <v>0.15196927738959098</v>
      </c>
      <c r="BA40" s="457">
        <f t="shared" ref="BA40:CF40" ca="1" si="29">BA44/1000*(Iout^2+BA36^2/12)*BA33/(1-BA34)^2</f>
        <v>0.14651569875925127</v>
      </c>
      <c r="BB40" s="457">
        <f t="shared" ca="1" si="29"/>
        <v>0.14135853288519865</v>
      </c>
      <c r="BC40" s="457">
        <f t="shared" ca="1" si="29"/>
        <v>0.13647631019101147</v>
      </c>
      <c r="BD40" s="457">
        <f t="shared" ca="1" si="29"/>
        <v>0.131849498180061</v>
      </c>
      <c r="BE40" s="457">
        <f t="shared" ca="1" si="29"/>
        <v>0.12746029279958884</v>
      </c>
      <c r="BF40" s="457">
        <f t="shared" ca="1" si="29"/>
        <v>0.12329243585066456</v>
      </c>
      <c r="BG40" s="457">
        <f t="shared" ca="1" si="29"/>
        <v>0.11933105475626715</v>
      </c>
      <c r="BH40" s="457">
        <f t="shared" ca="1" si="29"/>
        <v>0.11556252158211815</v>
      </c>
      <c r="BI40" s="457">
        <f t="shared" ca="1" si="29"/>
        <v>0.11197432868604092</v>
      </c>
      <c r="BJ40" s="457">
        <f t="shared" ca="1" si="29"/>
        <v>0.10855497877069445</v>
      </c>
      <c r="BK40" s="457">
        <f t="shared" ca="1" si="29"/>
        <v>0.10529388744678324</v>
      </c>
      <c r="BL40" s="457">
        <f t="shared" ca="1" si="29"/>
        <v>0.10218129669146089</v>
      </c>
      <c r="BM40" s="457">
        <f t="shared" ca="1" si="29"/>
        <v>9.9208197819415977E-2</v>
      </c>
      <c r="BN40" s="457">
        <f t="shared" ca="1" si="29"/>
        <v>9.63593316319621E-2</v>
      </c>
      <c r="BO40" s="457">
        <f t="shared" ca="1" si="29"/>
        <v>9.5102193971201163E-2</v>
      </c>
      <c r="BP40" s="457">
        <f t="shared" ca="1" si="29"/>
        <v>9.3881529847479772E-2</v>
      </c>
      <c r="BQ40" s="457">
        <f t="shared" ca="1" si="29"/>
        <v>9.2695729287601211E-2</v>
      </c>
      <c r="BR40" s="457">
        <f t="shared" ca="1" si="29"/>
        <v>9.1543278879469364E-2</v>
      </c>
      <c r="BS40" s="457">
        <f t="shared" ca="1" si="29"/>
        <v>9.0422754477140418E-2</v>
      </c>
      <c r="BT40" s="457">
        <f t="shared" ca="1" si="29"/>
        <v>8.9332814566042473E-2</v>
      </c>
      <c r="BU40" s="457">
        <f t="shared" ca="1" si="29"/>
        <v>8.8272194219260511E-2</v>
      </c>
      <c r="BV40" s="457">
        <f t="shared" ca="1" si="29"/>
        <v>8.7239699583944466E-2</v>
      </c>
      <c r="BW40" s="457">
        <f t="shared" ca="1" si="29"/>
        <v>8.6234202843988833E-2</v>
      </c>
      <c r="BX40" s="457">
        <f t="shared" ca="1" si="29"/>
        <v>8.525463761131119E-2</v>
      </c>
      <c r="BY40" s="457">
        <f t="shared" ca="1" si="29"/>
        <v>8.4299994703448136E-2</v>
      </c>
      <c r="BZ40" s="457">
        <f t="shared" ca="1" si="29"/>
        <v>8.3369318269903403E-2</v>
      </c>
      <c r="CA40" s="457">
        <f t="shared" ca="1" si="29"/>
        <v>8.2457556221913489E-2</v>
      </c>
      <c r="CB40" s="457">
        <f t="shared" ca="1" si="29"/>
        <v>8.1565917285215853E-2</v>
      </c>
      <c r="CC40" s="457">
        <f t="shared" ca="1" si="29"/>
        <v>8.0696196863324535E-2</v>
      </c>
      <c r="CD40" s="457">
        <f t="shared" ca="1" si="29"/>
        <v>7.9847621037556618E-2</v>
      </c>
      <c r="CE40" s="457">
        <f t="shared" ca="1" si="29"/>
        <v>7.901945356436639E-2</v>
      </c>
      <c r="CF40" s="457">
        <f t="shared" ca="1" si="29"/>
        <v>7.8210993646799343E-2</v>
      </c>
      <c r="CG40" s="457">
        <f t="shared" ref="CG40:DL40" ca="1" si="30">CG44/1000*(Iout^2+CG36^2/12)*CG33/(1-CG34)^2</f>
        <v>7.7421573866417959E-2</v>
      </c>
      <c r="CH40" s="457">
        <f t="shared" ca="1" si="30"/>
        <v>7.6650558262425617E-2</v>
      </c>
      <c r="CI40" s="457">
        <f t="shared" ca="1" si="30"/>
        <v>7.5897340545968139E-2</v>
      </c>
      <c r="CJ40" s="457">
        <f t="shared" ca="1" si="30"/>
        <v>7.5161342438717221E-2</v>
      </c>
      <c r="CK40" s="457">
        <f t="shared" ca="1" si="30"/>
        <v>7.4442012125844698E-2</v>
      </c>
      <c r="CL40" s="457">
        <f t="shared" ca="1" si="30"/>
        <v>7.3738822814402194E-2</v>
      </c>
      <c r="CM40" s="457">
        <f t="shared" ca="1" si="30"/>
        <v>7.3051271388929695E-2</v>
      </c>
      <c r="CN40" s="457">
        <f t="shared" ca="1" si="30"/>
        <v>7.2378877156849569E-2</v>
      </c>
      <c r="CO40" s="457">
        <f t="shared" ca="1" si="30"/>
        <v>7.1721180676859148E-2</v>
      </c>
      <c r="CP40" s="457">
        <f t="shared" ca="1" si="30"/>
        <v>7.1077742664129015E-2</v>
      </c>
      <c r="CQ40" s="457">
        <f t="shared" ca="1" si="30"/>
        <v>7.0448142966652125E-2</v>
      </c>
      <c r="CR40" s="457">
        <f t="shared" ca="1" si="30"/>
        <v>6.983197960757169E-2</v>
      </c>
      <c r="CS40" s="457">
        <f t="shared" ca="1" si="30"/>
        <v>6.9228867888758025E-2</v>
      </c>
      <c r="CT40" s="457">
        <f t="shared" ca="1" si="30"/>
        <v>6.8638439551301292E-2</v>
      </c>
      <c r="CU40" s="457">
        <f t="shared" ca="1" si="30"/>
        <v>6.806034198894996E-2</v>
      </c>
      <c r="CV40" s="457">
        <f t="shared" ca="1" si="30"/>
        <v>6.7494237510853872E-2</v>
      </c>
      <c r="CW40" s="457">
        <f t="shared" ca="1" si="30"/>
        <v>6.6939802650270289E-2</v>
      </c>
      <c r="CX40" s="457">
        <f t="shared" ca="1" si="30"/>
        <v>6.6396727516164392E-2</v>
      </c>
      <c r="CY40" s="457">
        <f t="shared" ca="1" si="30"/>
        <v>6.5864715184885167E-2</v>
      </c>
      <c r="CZ40" s="457">
        <f t="shared" ca="1" si="30"/>
        <v>6.5343481129325268E-2</v>
      </c>
      <c r="DA40" s="457">
        <f t="shared" ca="1" si="30"/>
        <v>6.4832752683182185E-2</v>
      </c>
      <c r="DB40" s="457">
        <f t="shared" ca="1" si="30"/>
        <v>6.4332268538128748E-2</v>
      </c>
      <c r="DC40" s="457">
        <f t="shared" ca="1" si="30"/>
        <v>6.3841778271876842E-2</v>
      </c>
      <c r="DD40" s="457">
        <f t="shared" ca="1" si="30"/>
        <v>6.3361041905279011E-2</v>
      </c>
      <c r="DE40" s="457">
        <f t="shared" ca="1" si="30"/>
        <v>6.2889829486761584E-2</v>
      </c>
      <c r="DF40" s="457">
        <f t="shared" ca="1" si="30"/>
        <v>6.2427920702518944E-2</v>
      </c>
      <c r="DG40" s="457">
        <f t="shared" ca="1" si="30"/>
        <v>6.1975104511026363E-2</v>
      </c>
      <c r="DH40" s="457">
        <f t="shared" ca="1" si="30"/>
        <v>6.1531178800544782E-2</v>
      </c>
      <c r="DI40" s="457">
        <f t="shared" ca="1" si="30"/>
        <v>6.1095950068399907E-2</v>
      </c>
      <c r="DJ40" s="457">
        <f t="shared" ca="1" si="30"/>
        <v>6.0669233120919236E-2</v>
      </c>
      <c r="DK40" s="457">
        <f t="shared" ca="1" si="30"/>
        <v>6.025085079300465E-2</v>
      </c>
      <c r="DL40" s="457">
        <f t="shared" ca="1" si="30"/>
        <v>5.9840633686405943E-2</v>
      </c>
      <c r="DM40" s="457">
        <f t="shared" ref="DM40:ER40" ca="1" si="31">DM44/1000*(Iout^2+DM36^2/12)*DM33/(1-DM34)^2</f>
        <v>5.9438419925843297E-2</v>
      </c>
      <c r="DN40" s="457">
        <f t="shared" ca="1" si="31"/>
        <v>5.9044054932204521E-2</v>
      </c>
      <c r="DO40" s="457">
        <f t="shared" ca="1" si="31"/>
        <v>5.8657391212115544E-2</v>
      </c>
      <c r="DP40" s="457">
        <f t="shared" ca="1" si="31"/>
        <v>5.8278288163252201E-2</v>
      </c>
      <c r="DQ40" s="457">
        <f t="shared" ca="1" si="31"/>
        <v>5.7906611894827376E-2</v>
      </c>
      <c r="DR40" s="457">
        <f t="shared" ca="1" si="31"/>
        <v>5.754223506275026E-2</v>
      </c>
      <c r="DS40" s="457">
        <f t="shared" ca="1" si="31"/>
        <v>5.718503671901503E-2</v>
      </c>
      <c r="DT40" s="457">
        <f t="shared" ca="1" si="31"/>
        <v>5.6834902174934719E-2</v>
      </c>
      <c r="DU40" s="457">
        <f t="shared" ca="1" si="31"/>
        <v>5.649172287789226E-2</v>
      </c>
      <c r="DV40" s="457">
        <f t="shared" ca="1" si="31"/>
        <v>5.6155396301336313E-2</v>
      </c>
      <c r="DW40" s="457">
        <f t="shared" ca="1" si="31"/>
        <v>5.5825825847803337E-2</v>
      </c>
      <c r="DX40" s="457">
        <f t="shared" ca="1" si="31"/>
        <v>5.550292076480131E-2</v>
      </c>
      <c r="DY40" s="457">
        <f t="shared" ca="1" si="31"/>
        <v>5.518659607344345E-2</v>
      </c>
      <c r="DZ40" s="457">
        <f t="shared" ca="1" si="31"/>
        <v>5.4876772509773915E-2</v>
      </c>
      <c r="EA40" s="457">
        <f t="shared" ca="1" si="31"/>
        <v>5.4573376478781271E-2</v>
      </c>
      <c r="EB40" s="457">
        <f t="shared" ca="1" si="31"/>
        <v>5.4276340021150067E-2</v>
      </c>
      <c r="EC40" s="457">
        <f t="shared" ca="1" si="31"/>
        <v>5.3985600792856761E-2</v>
      </c>
      <c r="ED40" s="457">
        <f t="shared" ca="1" si="31"/>
        <v>5.370110205777387E-2</v>
      </c>
      <c r="EE40" s="457">
        <f t="shared" ca="1" si="31"/>
        <v>5.3422792693505583E-2</v>
      </c>
      <c r="EF40" s="457">
        <f t="shared" ca="1" si="31"/>
        <v>5.3150627210740015E-2</v>
      </c>
      <c r="EG40" s="457">
        <f t="shared" ca="1" si="31"/>
        <v>5.2884565786468704E-2</v>
      </c>
      <c r="EH40" s="457">
        <f t="shared" ca="1" si="31"/>
        <v>5.2624574311491867E-2</v>
      </c>
      <c r="EI40" s="457">
        <f t="shared" ca="1" si="31"/>
        <v>5.2370624452701159E-2</v>
      </c>
      <c r="EJ40" s="457">
        <f t="shared" ca="1" si="31"/>
        <v>5.2122693730708082E-2</v>
      </c>
      <c r="EK40" s="457">
        <f t="shared" ca="1" si="31"/>
        <v>5.1880765613469944E-2</v>
      </c>
      <c r="EL40" s="457">
        <f t="shared" ca="1" si="31"/>
        <v>5.1644829626652726E-2</v>
      </c>
      <c r="EM40" s="457">
        <f t="shared" ca="1" si="31"/>
        <v>5.1414881481566886E-2</v>
      </c>
      <c r="EN40" s="457">
        <f t="shared" ca="1" si="31"/>
        <v>5.1190923221614823E-2</v>
      </c>
      <c r="EO40" s="457">
        <f t="shared" ca="1" si="31"/>
        <v>5.0972963388301318E-2</v>
      </c>
      <c r="EP40" s="457">
        <f t="shared" ca="1" si="31"/>
        <v>5.0761017207980548E-2</v>
      </c>
      <c r="EQ40" s="457">
        <f t="shared" ca="1" si="31"/>
        <v>5.0555106800646114E-2</v>
      </c>
      <c r="ER40" s="457">
        <f t="shared" ca="1" si="31"/>
        <v>5.0355261412217162E-2</v>
      </c>
      <c r="ES40" s="457">
        <f t="shared" ref="ES40:FE40" ca="1" si="32">ES44/1000*(Iout^2+ES36^2/12)*ES33/(1-ES34)^2</f>
        <v>5.0161517671933234E-2</v>
      </c>
      <c r="ET40" s="457">
        <f t="shared" ca="1" si="32"/>
        <v>4.9973919876647017E-2</v>
      </c>
      <c r="EU40" s="457">
        <f t="shared" ca="1" si="32"/>
        <v>4.9792520303997154E-2</v>
      </c>
      <c r="EV40" s="457">
        <f t="shared" ca="1" si="32"/>
        <v>4.9617379556658923E-2</v>
      </c>
      <c r="EW40" s="457">
        <f t="shared" ca="1" si="32"/>
        <v>4.9448566940105541E-2</v>
      </c>
      <c r="EX40" s="457">
        <f t="shared" ca="1" si="32"/>
        <v>4.9286160876576834E-2</v>
      </c>
      <c r="EY40" s="457">
        <f t="shared" ca="1" si="32"/>
        <v>4.9130249358241875E-2</v>
      </c>
      <c r="EZ40" s="457">
        <f t="shared" ca="1" si="32"/>
        <v>4.8980930442866978E-2</v>
      </c>
      <c r="FA40" s="457">
        <f t="shared" ca="1" si="32"/>
        <v>4.8838312795659908E-2</v>
      </c>
      <c r="FB40" s="457">
        <f t="shared" ca="1" si="32"/>
        <v>4.8702516281364204E-2</v>
      </c>
      <c r="FC40" s="457">
        <f t="shared" ca="1" si="32"/>
        <v>4.8573672611125669E-2</v>
      </c>
      <c r="FD40" s="457">
        <f t="shared" ca="1" si="32"/>
        <v>4.8451926049156394E-2</v>
      </c>
      <c r="FE40" s="457">
        <f t="shared" ca="1" si="32"/>
        <v>4.8337434184784152E-2</v>
      </c>
      <c r="FF40" s="455"/>
    </row>
    <row r="41" spans="1:162" ht="18" customHeight="1" x14ac:dyDescent="0.35">
      <c r="A41" s="38" t="s">
        <v>252</v>
      </c>
      <c r="B41" s="323"/>
      <c r="C41" s="321">
        <f>C40/1.844</f>
        <v>15.184381778741864</v>
      </c>
      <c r="D41" s="238" t="s">
        <v>2</v>
      </c>
      <c r="E41" s="79" t="s">
        <v>253</v>
      </c>
      <c r="F41" s="136"/>
      <c r="G41" s="10"/>
      <c r="H41" s="10"/>
      <c r="I41" s="39"/>
      <c r="R41" s="439"/>
      <c r="S41" s="439"/>
      <c r="T41" s="455" t="s">
        <v>335</v>
      </c>
      <c r="U41" s="459">
        <f>IF(U31&lt;=Vin_mode,Fsw*U31*Qg_boost/1000,0)+Constants!$D$24*U31*IF(U31&lt;=18,Fsw,1.5*Fsw-U31/36*Fsw)/1000</f>
        <v>2.5740000000000002E-2</v>
      </c>
      <c r="V41" s="459">
        <f>IF(V31&lt;=Vin_mode,Fsw*V31*Qg_boost/1000,0)+Constants!$D$24*V31*IF(V31&lt;=18,Fsw,1.5*Fsw-V31/36*Fsw)/1000</f>
        <v>2.6759571428571424E-2</v>
      </c>
      <c r="W41" s="459">
        <f>IF(W31&lt;=Vin_mode,Fsw*W31*Qg_boost/1000,0)+Constants!$D$24*W31*IF(W31&lt;=18,Fsw,1.5*Fsw-W31/36*Fsw)/1000</f>
        <v>2.7779142857142856E-2</v>
      </c>
      <c r="X41" s="459">
        <f>IF(X31&lt;=Vin_mode,Fsw*X31*Qg_boost/1000,0)+Constants!$D$24*X31*IF(X31&lt;=18,Fsw,1.5*Fsw-X31/36*Fsw)/1000</f>
        <v>2.8798714285714282E-2</v>
      </c>
      <c r="Y41" s="459">
        <f>IF(Y31&lt;=Vin_mode,Fsw*Y31*Qg_boost/1000,0)+Constants!$D$24*Y31*IF(Y31&lt;=18,Fsw,1.5*Fsw-Y31/36*Fsw)/1000</f>
        <v>2.9818285714285707E-2</v>
      </c>
      <c r="Z41" s="459">
        <f>IF(Z31&lt;=Vin_mode,Fsw*Z31*Qg_boost/1000,0)+Constants!$D$24*Z31*IF(Z31&lt;=18,Fsw,1.5*Fsw-Z31/36*Fsw)/1000</f>
        <v>3.0837857142857139E-2</v>
      </c>
      <c r="AA41" s="459">
        <f>IF(AA31&lt;=Vin_mode,Fsw*AA31*Qg_boost/1000,0)+Constants!$D$24*AA31*IF(AA31&lt;=18,Fsw,1.5*Fsw-AA31/36*Fsw)/1000</f>
        <v>3.1857428571428564E-2</v>
      </c>
      <c r="AB41" s="459">
        <f>IF(AB31&lt;=Vin_mode,Fsw*AB31*Qg_boost/1000,0)+Constants!$D$24*AB31*IF(AB31&lt;=18,Fsw,1.5*Fsw-AB31/36*Fsw)/1000</f>
        <v>3.287699999999999E-2</v>
      </c>
      <c r="AC41" s="459">
        <f>IF(AC31&lt;=Vin_mode,Fsw*AC31*Qg_boost/1000,0)+Constants!$D$24*AC31*IF(AC31&lt;=18,Fsw,1.5*Fsw-AC31/36*Fsw)/1000</f>
        <v>3.3896571428571422E-2</v>
      </c>
      <c r="AD41" s="459">
        <f>IF(AD31&lt;=Vin_mode,Fsw*AD31*Qg_boost/1000,0)+Constants!$D$24*AD31*IF(AD31&lt;=18,Fsw,1.5*Fsw-AD31/36*Fsw)/1000</f>
        <v>3.491614285714284E-2</v>
      </c>
      <c r="AE41" s="459">
        <f>IF(AE31&lt;=Vin_mode,Fsw*AE31*Qg_boost/1000,0)+Constants!$D$24*AE31*IF(AE31&lt;=18,Fsw,1.5*Fsw-AE31/36*Fsw)/1000</f>
        <v>3.5935714285714272E-2</v>
      </c>
      <c r="AF41" s="459">
        <f>IF(AF31&lt;=Vin_mode,Fsw*AF31*Qg_boost/1000,0)+Constants!$D$24*AF31*IF(AF31&lt;=18,Fsw,1.5*Fsw-AF31/36*Fsw)/1000</f>
        <v>3.6955285714285704E-2</v>
      </c>
      <c r="AG41" s="459">
        <f>IF(AG31&lt;=Vin_mode,Fsw*AG31*Qg_boost/1000,0)+Constants!$D$24*AG31*IF(AG31&lt;=18,Fsw,1.5*Fsw-AG31/36*Fsw)/1000</f>
        <v>3.797485714285713E-2</v>
      </c>
      <c r="AH41" s="459">
        <f>IF(AH31&lt;=Vin_mode,Fsw*AH31*Qg_boost/1000,0)+Constants!$D$24*AH31*IF(AH31&lt;=18,Fsw,1.5*Fsw-AH31/36*Fsw)/1000</f>
        <v>3.8994428571428555E-2</v>
      </c>
      <c r="AI41" s="459">
        <f>IF(AI31&lt;=Vin_mode,Fsw*AI31*Qg_boost/1000,0)+Constants!$D$24*AI31*IF(AI31&lt;=18,Fsw,1.5*Fsw-AI31/36*Fsw)/1000</f>
        <v>4.0013999999999994E-2</v>
      </c>
      <c r="AJ41" s="459">
        <f>IF(AJ31&lt;=Vin_mode,Fsw*AJ31*Qg_boost/1000,0)+Constants!$D$24*AJ31*IF(AJ31&lt;=18,Fsw,1.5*Fsw-AJ31/36*Fsw)/1000</f>
        <v>4.1033571428571419E-2</v>
      </c>
      <c r="AK41" s="459">
        <f>IF(AK31&lt;=Vin_mode,Fsw*AK31*Qg_boost/1000,0)+Constants!$D$24*AK31*IF(AK31&lt;=18,Fsw,1.5*Fsw-AK31/36*Fsw)/1000</f>
        <v>4.2053142857142851E-2</v>
      </c>
      <c r="AL41" s="459">
        <f>IF(AL31&lt;=Vin_mode,Fsw*AL31*Qg_boost/1000,0)+Constants!$D$24*AL31*IF(AL31&lt;=18,Fsw,1.5*Fsw-AL31/36*Fsw)/1000</f>
        <v>4.3072714285714284E-2</v>
      </c>
      <c r="AM41" s="459">
        <f>IF(AM31&lt;=Vin_mode,Fsw*AM31*Qg_boost/1000,0)+Constants!$D$24*AM31*IF(AM31&lt;=18,Fsw,1.5*Fsw-AM31/36*Fsw)/1000</f>
        <v>4.4092285714285709E-2</v>
      </c>
      <c r="AN41" s="459">
        <f>IF(AN31&lt;=Vin_mode,Fsw*AN31*Qg_boost/1000,0)+Constants!$D$24*AN31*IF(AN31&lt;=18,Fsw,1.5*Fsw-AN31/36*Fsw)/1000</f>
        <v>4.5111857142857148E-2</v>
      </c>
      <c r="AO41" s="459">
        <f>IF(AO31&lt;=Vin_mode,Fsw*AO31*Qg_boost/1000,0)+Constants!$D$24*AO31*IF(AO31&lt;=18,Fsw,1.5*Fsw-AO31/36*Fsw)/1000</f>
        <v>4.6131428571428573E-2</v>
      </c>
      <c r="AP41" s="459">
        <f>IF(AP31&lt;=Vin_mode,Fsw*AP31*Qg_boost/1000,0)+Constants!$D$24*AP31*IF(AP31&lt;=18,Fsw,1.5*Fsw-AP31/36*Fsw)/1000</f>
        <v>4.7151000000000005E-2</v>
      </c>
      <c r="AQ41" s="459">
        <f>IF(AQ31&lt;=Vin_mode,Fsw*AQ31*Qg_boost/1000,0)+Constants!$D$24*AQ31*IF(AQ31&lt;=18,Fsw,1.5*Fsw-AQ31/36*Fsw)/1000</f>
        <v>4.8170571428571438E-2</v>
      </c>
      <c r="AR41" s="459">
        <f>IF(AR31&lt;=Vin_mode,Fsw*AR31*Qg_boost/1000,0)+Constants!$D$24*AR31*IF(AR31&lt;=18,Fsw,1.5*Fsw-AR31/36*Fsw)/1000</f>
        <v>4.919014285714287E-2</v>
      </c>
      <c r="AS41" s="459">
        <f>IF(AS31&lt;=Vin_mode,Fsw*AS31*Qg_boost/1000,0)+Constants!$D$24*AS31*IF(AS31&lt;=18,Fsw,1.5*Fsw-AS31/36*Fsw)/1000</f>
        <v>5.0209714285714302E-2</v>
      </c>
      <c r="AT41" s="459">
        <f>IF(AT31&lt;=Vin_mode,Fsw*AT31*Qg_boost/1000,0)+Constants!$D$24*AT31*IF(AT31&lt;=18,Fsw,1.5*Fsw-AT31/36*Fsw)/1000</f>
        <v>5.1229285714285727E-2</v>
      </c>
      <c r="AU41" s="459">
        <f>IF(AU31&lt;=Vin_mode,Fsw*AU31*Qg_boost/1000,0)+Constants!$D$24*AU31*IF(AU31&lt;=18,Fsw,1.5*Fsw-AU31/36*Fsw)/1000</f>
        <v>5.2248857142857166E-2</v>
      </c>
      <c r="AV41" s="459">
        <f>IF(AV31&lt;=Vin_mode,Fsw*AV31*Qg_boost/1000,0)+Constants!$D$24*AV31*IF(AV31&lt;=18,Fsw,1.5*Fsw-AV31/36*Fsw)/1000</f>
        <v>5.3268428571428592E-2</v>
      </c>
      <c r="AW41" s="459">
        <f>IF(AW31&lt;=Vin_mode,Fsw*AW31*Qg_boost/1000,0)+Constants!$D$24*AW31*IF(AW31&lt;=18,Fsw,1.5*Fsw-AW31/36*Fsw)/1000</f>
        <v>5.4288000000000031E-2</v>
      </c>
      <c r="AX41" s="459">
        <f>IF(AX31&lt;=Vin_mode,Fsw*AX31*Qg_boost/1000,0)+Constants!$D$24*AX31*IF(AX31&lt;=18,Fsw,1.5*Fsw-AX31/36*Fsw)/1000</f>
        <v>5.5307571428571456E-2</v>
      </c>
      <c r="AY41" s="459">
        <f>IF(AY31&lt;=Vin_mode,Fsw*AY31*Qg_boost/1000,0)+Constants!$D$24*AY31*IF(AY31&lt;=18,Fsw,1.5*Fsw-AY31/36*Fsw)/1000</f>
        <v>5.6327142857142888E-2</v>
      </c>
      <c r="AZ41" s="459">
        <f>IF(AZ31&lt;=Vin_mode,Fsw*AZ31*Qg_boost/1000,0)+Constants!$D$24*AZ31*IF(AZ31&lt;=18,Fsw,1.5*Fsw-AZ31/36*Fsw)/1000</f>
        <v>5.734671428571432E-2</v>
      </c>
      <c r="BA41" s="459">
        <f>IF(BA31&lt;=Vin_mode,Fsw*BA31*Qg_boost/1000,0)+Constants!$D$24*BA31*IF(BA31&lt;=18,Fsw,1.5*Fsw-BA31/36*Fsw)/1000</f>
        <v>5.8366285714285746E-2</v>
      </c>
      <c r="BB41" s="459">
        <f>IF(BB31&lt;=Vin_mode,Fsw*BB31*Qg_boost/1000,0)+Constants!$D$24*BB31*IF(BB31&lt;=18,Fsw,1.5*Fsw-BB31/36*Fsw)/1000</f>
        <v>5.9385857142857185E-2</v>
      </c>
      <c r="BC41" s="459">
        <f>IF(BC31&lt;=Vin_mode,Fsw*BC31*Qg_boost/1000,0)+Constants!$D$24*BC31*IF(BC31&lt;=18,Fsw,1.5*Fsw-BC31/36*Fsw)/1000</f>
        <v>6.0405428571428617E-2</v>
      </c>
      <c r="BD41" s="459">
        <f>IF(BD31&lt;=Vin_mode,Fsw*BD31*Qg_boost/1000,0)+Constants!$D$24*BD31*IF(BD31&lt;=18,Fsw,1.5*Fsw-BD31/36*Fsw)/1000</f>
        <v>6.1425000000000049E-2</v>
      </c>
      <c r="BE41" s="459">
        <f>IF(BE31&lt;=Vin_mode,Fsw*BE31*Qg_boost/1000,0)+Constants!$D$24*BE31*IF(BE31&lt;=18,Fsw,1.5*Fsw-BE31/36*Fsw)/1000</f>
        <v>6.2444571428571481E-2</v>
      </c>
      <c r="BF41" s="459">
        <f>IF(BF31&lt;=Vin_mode,Fsw*BF31*Qg_boost/1000,0)+Constants!$D$24*BF31*IF(BF31&lt;=18,Fsw,1.5*Fsw-BF31/36*Fsw)/1000</f>
        <v>6.3464142857142913E-2</v>
      </c>
      <c r="BG41" s="459">
        <f>IF(BG31&lt;=Vin_mode,Fsw*BG31*Qg_boost/1000,0)+Constants!$D$24*BG31*IF(BG31&lt;=18,Fsw,1.5*Fsw-BG31/36*Fsw)/1000</f>
        <v>6.4483714285714339E-2</v>
      </c>
      <c r="BH41" s="459">
        <f>IF(BH31&lt;=Vin_mode,Fsw*BH31*Qg_boost/1000,0)+Constants!$D$24*BH31*IF(BH31&lt;=18,Fsw,1.5*Fsw-BH31/36*Fsw)/1000</f>
        <v>6.5503285714285764E-2</v>
      </c>
      <c r="BI41" s="459">
        <f>IF(BI31&lt;=Vin_mode,Fsw*BI31*Qg_boost/1000,0)+Constants!$D$24*BI31*IF(BI31&lt;=18,Fsw,1.5*Fsw-BI31/36*Fsw)/1000</f>
        <v>6.6522857142857189E-2</v>
      </c>
      <c r="BJ41" s="459">
        <f>IF(BJ31&lt;=Vin_mode,Fsw*BJ31*Qg_boost/1000,0)+Constants!$D$24*BJ31*IF(BJ31&lt;=18,Fsw,1.5*Fsw-BJ31/36*Fsw)/1000</f>
        <v>6.7542428571428642E-2</v>
      </c>
      <c r="BK41" s="459">
        <f>IF(BK31&lt;=Vin_mode,Fsw*BK31*Qg_boost/1000,0)+Constants!$D$24*BK31*IF(BK31&lt;=18,Fsw,1.5*Fsw-BK31/36*Fsw)/1000</f>
        <v>6.8562000000000067E-2</v>
      </c>
      <c r="BL41" s="459">
        <f>IF(BL31&lt;=Vin_mode,Fsw*BL31*Qg_boost/1000,0)+Constants!$D$24*BL31*IF(BL31&lt;=18,Fsw,1.5*Fsw-BL31/36*Fsw)/1000</f>
        <v>6.9581571428571493E-2</v>
      </c>
      <c r="BM41" s="459">
        <f>IF(BM31&lt;=Vin_mode,Fsw*BM31*Qg_boost/1000,0)+Constants!$D$24*BM31*IF(BM31&lt;=18,Fsw,1.5*Fsw-BM31/36*Fsw)/1000</f>
        <v>7.0601142857142918E-2</v>
      </c>
      <c r="BN41" s="459">
        <f>IF(BN31&lt;=Vin_mode,Fsw*BN31*Qg_boost/1000,0)+Constants!$D$24*BN31*IF(BN31&lt;=18,Fsw,1.5*Fsw-BN31/36*Fsw)/1000</f>
        <v>3.4892142857142892E-2</v>
      </c>
      <c r="BO41" s="459">
        <f>IF(BO31&lt;=Vin_mode,Fsw*BO31*Qg_boost/1000,0)+Constants!$D$24*BO31*IF(BO31&lt;=18,Fsw,1.5*Fsw-BO31/36*Fsw)/1000</f>
        <v>3.5388857142857173E-2</v>
      </c>
      <c r="BP41" s="459">
        <f>IF(BP31&lt;=Vin_mode,Fsw*BP31*Qg_boost/1000,0)+Constants!$D$24*BP31*IF(BP31&lt;=18,Fsw,1.5*Fsw-BP31/36*Fsw)/1000</f>
        <v>3.5885571428571468E-2</v>
      </c>
      <c r="BQ41" s="459">
        <f>IF(BQ31&lt;=Vin_mode,Fsw*BQ31*Qg_boost/1000,0)+Constants!$D$24*BQ31*IF(BQ31&lt;=18,Fsw,1.5*Fsw-BQ31/36*Fsw)/1000</f>
        <v>3.6382285714285749E-2</v>
      </c>
      <c r="BR41" s="459">
        <f>IF(BR31&lt;=Vin_mode,Fsw*BR31*Qg_boost/1000,0)+Constants!$D$24*BR31*IF(BR31&lt;=18,Fsw,1.5*Fsw-BR31/36*Fsw)/1000</f>
        <v>3.6879000000000044E-2</v>
      </c>
      <c r="BS41" s="459">
        <f>IF(BS31&lt;=Vin_mode,Fsw*BS31*Qg_boost/1000,0)+Constants!$D$24*BS31*IF(BS31&lt;=18,Fsw,1.5*Fsw-BS31/36*Fsw)/1000</f>
        <v>3.7375714285714325E-2</v>
      </c>
      <c r="BT41" s="459">
        <f>IF(BT31&lt;=Vin_mode,Fsw*BT31*Qg_boost/1000,0)+Constants!$D$24*BT31*IF(BT31&lt;=18,Fsw,1.5*Fsw-BT31/36*Fsw)/1000</f>
        <v>3.7872428571428599E-2</v>
      </c>
      <c r="BU41" s="459">
        <f>IF(BU31&lt;=Vin_mode,Fsw*BU31*Qg_boost/1000,0)+Constants!$D$24*BU31*IF(BU31&lt;=18,Fsw,1.5*Fsw-BU31/36*Fsw)/1000</f>
        <v>3.8369142857142893E-2</v>
      </c>
      <c r="BV41" s="459">
        <f>IF(BV31&lt;=Vin_mode,Fsw*BV31*Qg_boost/1000,0)+Constants!$D$24*BV31*IF(BV31&lt;=18,Fsw,1.5*Fsw-BV31/36*Fsw)/1000</f>
        <v>3.8865857142857174E-2</v>
      </c>
      <c r="BW41" s="459">
        <f>IF(BW31&lt;=Vin_mode,Fsw*BW31*Qg_boost/1000,0)+Constants!$D$24*BW31*IF(BW31&lt;=18,Fsw,1.5*Fsw-BW31/36*Fsw)/1000</f>
        <v>3.9362571428571448E-2</v>
      </c>
      <c r="BX41" s="459">
        <f>IF(BX31&lt;=Vin_mode,Fsw*BX31*Qg_boost/1000,0)+Constants!$D$24*BX31*IF(BX31&lt;=18,Fsw,1.5*Fsw-BX31/36*Fsw)/1000</f>
        <v>3.9859285714285736E-2</v>
      </c>
      <c r="BY41" s="459">
        <f>IF(BY31&lt;=Vin_mode,Fsw*BY31*Qg_boost/1000,0)+Constants!$D$24*BY31*IF(BY31&lt;=18,Fsw,1.5*Fsw-BY31/36*Fsw)/1000</f>
        <v>4.0356000000000024E-2</v>
      </c>
      <c r="BZ41" s="459">
        <f>IF(BZ31&lt;=Vin_mode,Fsw*BZ31*Qg_boost/1000,0)+Constants!$D$24*BZ31*IF(BZ31&lt;=18,Fsw,1.5*Fsw-BZ31/36*Fsw)/1000</f>
        <v>4.0852714285714298E-2</v>
      </c>
      <c r="CA41" s="459">
        <f>IF(CA31&lt;=Vin_mode,Fsw*CA31*Qg_boost/1000,0)+Constants!$D$24*CA31*IF(CA31&lt;=18,Fsw,1.5*Fsw-CA31/36*Fsw)/1000</f>
        <v>4.1193547789115666E-2</v>
      </c>
      <c r="CB41" s="459">
        <f>IF(CB31&lt;=Vin_mode,Fsw*CB31*Qg_boost/1000,0)+Constants!$D$24*CB31*IF(CB31&lt;=18,Fsw,1.5*Fsw-CB31/36*Fsw)/1000</f>
        <v>4.1435153954081649E-2</v>
      </c>
      <c r="CC41" s="459">
        <f>IF(CC31&lt;=Vin_mode,Fsw*CC31*Qg_boost/1000,0)+Constants!$D$24*CC31*IF(CC31&lt;=18,Fsw,1.5*Fsw-CC31/36*Fsw)/1000</f>
        <v>4.1670748299319743E-2</v>
      </c>
      <c r="CD41" s="459">
        <f>IF(CD31&lt;=Vin_mode,Fsw*CD31*Qg_boost/1000,0)+Constants!$D$24*CD31*IF(CD31&lt;=18,Fsw,1.5*Fsw-CD31/36*Fsw)/1000</f>
        <v>4.1900330824829933E-2</v>
      </c>
      <c r="CE41" s="459">
        <f>IF(CE31&lt;=Vin_mode,Fsw*CE31*Qg_boost/1000,0)+Constants!$D$24*CE31*IF(CE31&lt;=18,Fsw,1.5*Fsw-CE31/36*Fsw)/1000</f>
        <v>4.2123901530612254E-2</v>
      </c>
      <c r="CF41" s="459">
        <f>IF(CF31&lt;=Vin_mode,Fsw*CF31*Qg_boost/1000,0)+Constants!$D$24*CF31*IF(CF31&lt;=18,Fsw,1.5*Fsw-CF31/36*Fsw)/1000</f>
        <v>4.2341460416666678E-2</v>
      </c>
      <c r="CG41" s="459">
        <f>IF(CG31&lt;=Vin_mode,Fsw*CG31*Qg_boost/1000,0)+Constants!$D$24*CG31*IF(CG31&lt;=18,Fsw,1.5*Fsw-CG31/36*Fsw)/1000</f>
        <v>4.2553007482993205E-2</v>
      </c>
      <c r="CH41" s="459">
        <f>IF(CH31&lt;=Vin_mode,Fsw*CH31*Qg_boost/1000,0)+Constants!$D$24*CH31*IF(CH31&lt;=18,Fsw,1.5*Fsw-CH31/36*Fsw)/1000</f>
        <v>4.2758542729591842E-2</v>
      </c>
      <c r="CI41" s="459">
        <f>IF(CI31&lt;=Vin_mode,Fsw*CI31*Qg_boost/1000,0)+Constants!$D$24*CI31*IF(CI31&lt;=18,Fsw,1.5*Fsw-CI31/36*Fsw)/1000</f>
        <v>4.2958066156462596E-2</v>
      </c>
      <c r="CJ41" s="459">
        <f>IF(CJ31&lt;=Vin_mode,Fsw*CJ31*Qg_boost/1000,0)+Constants!$D$24*CJ31*IF(CJ31&lt;=18,Fsw,1.5*Fsw-CJ31/36*Fsw)/1000</f>
        <v>4.3151577763605446E-2</v>
      </c>
      <c r="CK41" s="459">
        <f>IF(CK31&lt;=Vin_mode,Fsw*CK31*Qg_boost/1000,0)+Constants!$D$24*CK31*IF(CK31&lt;=18,Fsw,1.5*Fsw-CK31/36*Fsw)/1000</f>
        <v>4.3339077551020407E-2</v>
      </c>
      <c r="CL41" s="459">
        <f>IF(CL31&lt;=Vin_mode,Fsw*CL31*Qg_boost/1000,0)+Constants!$D$24*CL31*IF(CL31&lt;=18,Fsw,1.5*Fsw-CL31/36*Fsw)/1000</f>
        <v>4.3520565518707484E-2</v>
      </c>
      <c r="CM41" s="459">
        <f>IF(CM31&lt;=Vin_mode,Fsw*CM31*Qg_boost/1000,0)+Constants!$D$24*CM31*IF(CM31&lt;=18,Fsw,1.5*Fsw-CM31/36*Fsw)/1000</f>
        <v>4.3696041666666671E-2</v>
      </c>
      <c r="CN41" s="459">
        <f>IF(CN31&lt;=Vin_mode,Fsw*CN31*Qg_boost/1000,0)+Constants!$D$24*CN31*IF(CN31&lt;=18,Fsw,1.5*Fsw-CN31/36*Fsw)/1000</f>
        <v>4.3865505994897962E-2</v>
      </c>
      <c r="CO41" s="459">
        <f>IF(CO31&lt;=Vin_mode,Fsw*CO31*Qg_boost/1000,0)+Constants!$D$24*CO31*IF(CO31&lt;=18,Fsw,1.5*Fsw-CO31/36*Fsw)/1000</f>
        <v>4.4028958503401362E-2</v>
      </c>
      <c r="CP41" s="459">
        <f>IF(CP31&lt;=Vin_mode,Fsw*CP31*Qg_boost/1000,0)+Constants!$D$24*CP31*IF(CP31&lt;=18,Fsw,1.5*Fsw-CP31/36*Fsw)/1000</f>
        <v>4.418639919217688E-2</v>
      </c>
      <c r="CQ41" s="459">
        <f>IF(CQ31&lt;=Vin_mode,Fsw*CQ31*Qg_boost/1000,0)+Constants!$D$24*CQ31*IF(CQ31&lt;=18,Fsw,1.5*Fsw-CQ31/36*Fsw)/1000</f>
        <v>4.4337828061224493E-2</v>
      </c>
      <c r="CR41" s="459">
        <f>IF(CR31&lt;=Vin_mode,Fsw*CR31*Qg_boost/1000,0)+Constants!$D$24*CR31*IF(CR31&lt;=18,Fsw,1.5*Fsw-CR31/36*Fsw)/1000</f>
        <v>4.4483245110544217E-2</v>
      </c>
      <c r="CS41" s="459">
        <f>IF(CS31&lt;=Vin_mode,Fsw*CS31*Qg_boost/1000,0)+Constants!$D$24*CS31*IF(CS31&lt;=18,Fsw,1.5*Fsw-CS31/36*Fsw)/1000</f>
        <v>4.4622650340136058E-2</v>
      </c>
      <c r="CT41" s="459">
        <f>IF(CT31&lt;=Vin_mode,Fsw*CT31*Qg_boost/1000,0)+Constants!$D$24*CT31*IF(CT31&lt;=18,Fsw,1.5*Fsw-CT31/36*Fsw)/1000</f>
        <v>4.4756043749999995E-2</v>
      </c>
      <c r="CU41" s="459">
        <f>IF(CU31&lt;=Vin_mode,Fsw*CU31*Qg_boost/1000,0)+Constants!$D$24*CU31*IF(CU31&lt;=18,Fsw,1.5*Fsw-CU31/36*Fsw)/1000</f>
        <v>4.4883425340136056E-2</v>
      </c>
      <c r="CV41" s="459">
        <f>IF(CV31&lt;=Vin_mode,Fsw*CV31*Qg_boost/1000,0)+Constants!$D$24*CV31*IF(CV31&lt;=18,Fsw,1.5*Fsw-CV31/36*Fsw)/1000</f>
        <v>4.5004795110544213E-2</v>
      </c>
      <c r="CW41" s="459">
        <f>IF(CW31&lt;=Vin_mode,Fsw*CW31*Qg_boost/1000,0)+Constants!$D$24*CW31*IF(CW31&lt;=18,Fsw,1.5*Fsw-CW31/36*Fsw)/1000</f>
        <v>4.5120153061224487E-2</v>
      </c>
      <c r="CX41" s="459">
        <f>IF(CX31&lt;=Vin_mode,Fsw*CX31*Qg_boost/1000,0)+Constants!$D$24*CX31*IF(CX31&lt;=18,Fsw,1.5*Fsw-CX31/36*Fsw)/1000</f>
        <v>4.5229499192176864E-2</v>
      </c>
      <c r="CY41" s="459">
        <f>IF(CY31&lt;=Vin_mode,Fsw*CY31*Qg_boost/1000,0)+Constants!$D$24*CY31*IF(CY31&lt;=18,Fsw,1.5*Fsw-CY31/36*Fsw)/1000</f>
        <v>4.5332833503401358E-2</v>
      </c>
      <c r="CZ41" s="459">
        <f>IF(CZ31&lt;=Vin_mode,Fsw*CZ31*Qg_boost/1000,0)+Constants!$D$24*CZ31*IF(CZ31&lt;=18,Fsw,1.5*Fsw-CZ31/36*Fsw)/1000</f>
        <v>4.5430155994897956E-2</v>
      </c>
      <c r="DA41" s="459">
        <f>IF(DA31&lt;=Vin_mode,Fsw*DA31*Qg_boost/1000,0)+Constants!$D$24*DA31*IF(DA31&lt;=18,Fsw,1.5*Fsw-DA31/36*Fsw)/1000</f>
        <v>4.552146666666667E-2</v>
      </c>
      <c r="DB41" s="459">
        <f>IF(DB31&lt;=Vin_mode,Fsw*DB31*Qg_boost/1000,0)+Constants!$D$24*DB31*IF(DB31&lt;=18,Fsw,1.5*Fsw-DB31/36*Fsw)/1000</f>
        <v>4.5606765518707487E-2</v>
      </c>
      <c r="DC41" s="459">
        <f>IF(DC31&lt;=Vin_mode,Fsw*DC31*Qg_boost/1000,0)+Constants!$D$24*DC31*IF(DC31&lt;=18,Fsw,1.5*Fsw-DC31/36*Fsw)/1000</f>
        <v>4.5686052551020401E-2</v>
      </c>
      <c r="DD41" s="459">
        <f>IF(DD31&lt;=Vin_mode,Fsw*DD31*Qg_boost/1000,0)+Constants!$D$24*DD31*IF(DD31&lt;=18,Fsw,1.5*Fsw-DD31/36*Fsw)/1000</f>
        <v>4.5759327763605438E-2</v>
      </c>
      <c r="DE41" s="459">
        <f>IF(DE31&lt;=Vin_mode,Fsw*DE31*Qg_boost/1000,0)+Constants!$D$24*DE31*IF(DE31&lt;=18,Fsw,1.5*Fsw-DE31/36*Fsw)/1000</f>
        <v>4.5826591156462586E-2</v>
      </c>
      <c r="DF41" s="459">
        <f>IF(DF31&lt;=Vin_mode,Fsw*DF31*Qg_boost/1000,0)+Constants!$D$24*DF31*IF(DF31&lt;=18,Fsw,1.5*Fsw-DF31/36*Fsw)/1000</f>
        <v>4.588784272959183E-2</v>
      </c>
      <c r="DG41" s="459">
        <f>IF(DG31&lt;=Vin_mode,Fsw*DG31*Qg_boost/1000,0)+Constants!$D$24*DG31*IF(DG31&lt;=18,Fsw,1.5*Fsw-DG31/36*Fsw)/1000</f>
        <v>4.5943082482993204E-2</v>
      </c>
      <c r="DH41" s="459">
        <f>IF(DH31&lt;=Vin_mode,Fsw*DH31*Qg_boost/1000,0)+Constants!$D$24*DH31*IF(DH31&lt;=18,Fsw,1.5*Fsw-DH31/36*Fsw)/1000</f>
        <v>4.5992310416666675E-2</v>
      </c>
      <c r="DI41" s="459">
        <f>IF(DI31&lt;=Vin_mode,Fsw*DI31*Qg_boost/1000,0)+Constants!$D$24*DI31*IF(DI31&lt;=18,Fsw,1.5*Fsw-DI31/36*Fsw)/1000</f>
        <v>4.6035526530612256E-2</v>
      </c>
      <c r="DJ41" s="459">
        <f>IF(DJ31&lt;=Vin_mode,Fsw*DJ31*Qg_boost/1000,0)+Constants!$D$24*DJ31*IF(DJ31&lt;=18,Fsw,1.5*Fsw-DJ31/36*Fsw)/1000</f>
        <v>4.6072730824829947E-2</v>
      </c>
      <c r="DK41" s="459">
        <f>IF(DK31&lt;=Vin_mode,Fsw*DK31*Qg_boost/1000,0)+Constants!$D$24*DK31*IF(DK31&lt;=18,Fsw,1.5*Fsw-DK31/36*Fsw)/1000</f>
        <v>4.6103923299319734E-2</v>
      </c>
      <c r="DL41" s="459">
        <f>IF(DL31&lt;=Vin_mode,Fsw*DL31*Qg_boost/1000,0)+Constants!$D$24*DL31*IF(DL31&lt;=18,Fsw,1.5*Fsw-DL31/36*Fsw)/1000</f>
        <v>4.6129103954081645E-2</v>
      </c>
      <c r="DM41" s="459">
        <f>IF(DM31&lt;=Vin_mode,Fsw*DM31*Qg_boost/1000,0)+Constants!$D$24*DM31*IF(DM31&lt;=18,Fsw,1.5*Fsw-DM31/36*Fsw)/1000</f>
        <v>4.6148272789115659E-2</v>
      </c>
      <c r="DN41" s="459">
        <f>IF(DN31&lt;=Vin_mode,Fsw*DN31*Qg_boost/1000,0)+Constants!$D$24*DN31*IF(DN31&lt;=18,Fsw,1.5*Fsw-DN31/36*Fsw)/1000</f>
        <v>4.6161429804421769E-2</v>
      </c>
      <c r="DO41" s="459">
        <f>IF(DO31&lt;=Vin_mode,Fsw*DO31*Qg_boost/1000,0)+Constants!$D$24*DO31*IF(DO31&lt;=18,Fsw,1.5*Fsw-DO31/36*Fsw)/1000</f>
        <v>4.6168575000000017E-2</v>
      </c>
      <c r="DP41" s="459">
        <f>IF(DP31&lt;=Vin_mode,Fsw*DP31*Qg_boost/1000,0)+Constants!$D$24*DP31*IF(DP31&lt;=18,Fsw,1.5*Fsw-DP31/36*Fsw)/1000</f>
        <v>4.6169708375850348E-2</v>
      </c>
      <c r="DQ41" s="459">
        <f>IF(DQ31&lt;=Vin_mode,Fsw*DQ31*Qg_boost/1000,0)+Constants!$D$24*DQ31*IF(DQ31&lt;=18,Fsw,1.5*Fsw-DQ31/36*Fsw)/1000</f>
        <v>4.6164829931972802E-2</v>
      </c>
      <c r="DR41" s="459">
        <f>IF(DR31&lt;=Vin_mode,Fsw*DR31*Qg_boost/1000,0)+Constants!$D$24*DR31*IF(DR31&lt;=18,Fsw,1.5*Fsw-DR31/36*Fsw)/1000</f>
        <v>4.6153939668367366E-2</v>
      </c>
      <c r="DS41" s="459">
        <f>IF(DS31&lt;=Vin_mode,Fsw*DS31*Qg_boost/1000,0)+Constants!$D$24*DS31*IF(DS31&lt;=18,Fsw,1.5*Fsw-DS31/36*Fsw)/1000</f>
        <v>4.6137037585034034E-2</v>
      </c>
      <c r="DT41" s="459">
        <f>IF(DT31&lt;=Vin_mode,Fsw*DT31*Qg_boost/1000,0)+Constants!$D$24*DT31*IF(DT31&lt;=18,Fsw,1.5*Fsw-DT31/36*Fsw)/1000</f>
        <v>4.6114123681972805E-2</v>
      </c>
      <c r="DU41" s="459">
        <f>IF(DU31&lt;=Vin_mode,Fsw*DU31*Qg_boost/1000,0)+Constants!$D$24*DU31*IF(DU31&lt;=18,Fsw,1.5*Fsw-DU31/36*Fsw)/1000</f>
        <v>4.6085197959183699E-2</v>
      </c>
      <c r="DV41" s="459">
        <f>IF(DV31&lt;=Vin_mode,Fsw*DV31*Qg_boost/1000,0)+Constants!$D$24*DV31*IF(DV31&lt;=18,Fsw,1.5*Fsw-DV31/36*Fsw)/1000</f>
        <v>4.605026041666669E-2</v>
      </c>
      <c r="DW41" s="459">
        <f>IF(DW31&lt;=Vin_mode,Fsw*DW31*Qg_boost/1000,0)+Constants!$D$24*DW31*IF(DW31&lt;=18,Fsw,1.5*Fsw-DW31/36*Fsw)/1000</f>
        <v>4.6009311054421784E-2</v>
      </c>
      <c r="DX41" s="459">
        <f>IF(DX31&lt;=Vin_mode,Fsw*DX31*Qg_boost/1000,0)+Constants!$D$24*DX31*IF(DX31&lt;=18,Fsw,1.5*Fsw-DX31/36*Fsw)/1000</f>
        <v>4.5962349872449001E-2</v>
      </c>
      <c r="DY41" s="459">
        <f>IF(DY31&lt;=Vin_mode,Fsw*DY31*Qg_boost/1000,0)+Constants!$D$24*DY31*IF(DY31&lt;=18,Fsw,1.5*Fsw-DY31/36*Fsw)/1000</f>
        <v>4.5909376870748315E-2</v>
      </c>
      <c r="DZ41" s="459">
        <f>IF(DZ31&lt;=Vin_mode,Fsw*DZ31*Qg_boost/1000,0)+Constants!$D$24*DZ31*IF(DZ31&lt;=18,Fsw,1.5*Fsw-DZ31/36*Fsw)/1000</f>
        <v>4.5850392049319753E-2</v>
      </c>
      <c r="EA41" s="459">
        <f>IF(EA31&lt;=Vin_mode,Fsw*EA31*Qg_boost/1000,0)+Constants!$D$24*EA31*IF(EA31&lt;=18,Fsw,1.5*Fsw-EA31/36*Fsw)/1000</f>
        <v>4.5785395408163301E-2</v>
      </c>
      <c r="EB41" s="459">
        <f>IF(EB31&lt;=Vin_mode,Fsw*EB31*Qg_boost/1000,0)+Constants!$D$24*EB31*IF(EB31&lt;=18,Fsw,1.5*Fsw-EB31/36*Fsw)/1000</f>
        <v>4.5714386947278945E-2</v>
      </c>
      <c r="EC41" s="459">
        <f>IF(EC31&lt;=Vin_mode,Fsw*EC31*Qg_boost/1000,0)+Constants!$D$24*EC31*IF(EC31&lt;=18,Fsw,1.5*Fsw-EC31/36*Fsw)/1000</f>
        <v>4.5637366666666707E-2</v>
      </c>
      <c r="ED41" s="459">
        <f>IF(ED31&lt;=Vin_mode,Fsw*ED31*Qg_boost/1000,0)+Constants!$D$24*ED31*IF(ED31&lt;=18,Fsw,1.5*Fsw-ED31/36*Fsw)/1000</f>
        <v>4.5554334566326564E-2</v>
      </c>
      <c r="EE41" s="459">
        <f>IF(EE31&lt;=Vin_mode,Fsw*EE31*Qg_boost/1000,0)+Constants!$D$24*EE31*IF(EE31&lt;=18,Fsw,1.5*Fsw-EE31/36*Fsw)/1000</f>
        <v>4.5465290646258538E-2</v>
      </c>
      <c r="EF41" s="459">
        <f>IF(EF31&lt;=Vin_mode,Fsw*EF31*Qg_boost/1000,0)+Constants!$D$24*EF31*IF(EF31&lt;=18,Fsw,1.5*Fsw-EF31/36*Fsw)/1000</f>
        <v>4.537023490646263E-2</v>
      </c>
      <c r="EG41" s="459">
        <f>IF(EG31&lt;=Vin_mode,Fsw*EG31*Qg_boost/1000,0)+Constants!$D$24*EG31*IF(EG31&lt;=18,Fsw,1.5*Fsw-EG31/36*Fsw)/1000</f>
        <v>4.5269167346938817E-2</v>
      </c>
      <c r="EH41" s="459">
        <f>IF(EH31&lt;=Vin_mode,Fsw*EH31*Qg_boost/1000,0)+Constants!$D$24*EH31*IF(EH31&lt;=18,Fsw,1.5*Fsw-EH31/36*Fsw)/1000</f>
        <v>4.5162087967687121E-2</v>
      </c>
      <c r="EI41" s="459">
        <f>IF(EI31&lt;=Vin_mode,Fsw*EI31*Qg_boost/1000,0)+Constants!$D$24*EI31*IF(EI31&lt;=18,Fsw,1.5*Fsw-EI31/36*Fsw)/1000</f>
        <v>4.5048996768707536E-2</v>
      </c>
      <c r="EJ41" s="459">
        <f>IF(EJ31&lt;=Vin_mode,Fsw*EJ31*Qg_boost/1000,0)+Constants!$D$24*EJ31*IF(EJ31&lt;=18,Fsw,1.5*Fsw-EJ31/36*Fsw)/1000</f>
        <v>4.4929893750000054E-2</v>
      </c>
      <c r="EK41" s="459">
        <f>IF(EK31&lt;=Vin_mode,Fsw*EK31*Qg_boost/1000,0)+Constants!$D$24*EK31*IF(EK31&lt;=18,Fsw,1.5*Fsw-EK31/36*Fsw)/1000</f>
        <v>4.4804778911564681E-2</v>
      </c>
      <c r="EL41" s="459">
        <f>IF(EL31&lt;=Vin_mode,Fsw*EL31*Qg_boost/1000,0)+Constants!$D$24*EL31*IF(EL31&lt;=18,Fsw,1.5*Fsw-EL31/36*Fsw)/1000</f>
        <v>4.4673652253401419E-2</v>
      </c>
      <c r="EM41" s="459">
        <f>IF(EM31&lt;=Vin_mode,Fsw*EM31*Qg_boost/1000,0)+Constants!$D$24*EM31*IF(EM31&lt;=18,Fsw,1.5*Fsw-EM31/36*Fsw)/1000</f>
        <v>4.4536513775510267E-2</v>
      </c>
      <c r="EN41" s="459">
        <f>IF(EN31&lt;=Vin_mode,Fsw*EN31*Qg_boost/1000,0)+Constants!$D$24*EN31*IF(EN31&lt;=18,Fsw,1.5*Fsw-EN31/36*Fsw)/1000</f>
        <v>4.4393363477891211E-2</v>
      </c>
      <c r="EO41" s="459">
        <f>IF(EO31&lt;=Vin_mode,Fsw*EO31*Qg_boost/1000,0)+Constants!$D$24*EO31*IF(EO31&lt;=18,Fsw,1.5*Fsw-EO31/36*Fsw)/1000</f>
        <v>4.4244201360544272E-2</v>
      </c>
      <c r="EP41" s="459">
        <f>IF(EP31&lt;=Vin_mode,Fsw*EP31*Qg_boost/1000,0)+Constants!$D$24*EP31*IF(EP31&lt;=18,Fsw,1.5*Fsw-EP31/36*Fsw)/1000</f>
        <v>4.408902742346945E-2</v>
      </c>
      <c r="EQ41" s="459">
        <f>IF(EQ31&lt;=Vin_mode,Fsw*EQ31*Qg_boost/1000,0)+Constants!$D$24*EQ31*IF(EQ31&lt;=18,Fsw,1.5*Fsw-EQ31/36*Fsw)/1000</f>
        <v>4.3927841666666738E-2</v>
      </c>
      <c r="ER41" s="459">
        <f>IF(ER31&lt;=Vin_mode,Fsw*ER31*Qg_boost/1000,0)+Constants!$D$24*ER31*IF(ER31&lt;=18,Fsw,1.5*Fsw-ER31/36*Fsw)/1000</f>
        <v>4.3760644090136129E-2</v>
      </c>
      <c r="ES41" s="459">
        <f>IF(ES31&lt;=Vin_mode,Fsw*ES31*Qg_boost/1000,0)+Constants!$D$24*ES31*IF(ES31&lt;=18,Fsw,1.5*Fsw-ES31/36*Fsw)/1000</f>
        <v>4.358743469387763E-2</v>
      </c>
      <c r="ET41" s="459">
        <f>IF(ET31&lt;=Vin_mode,Fsw*ET31*Qg_boost/1000,0)+Constants!$D$24*ET31*IF(ET31&lt;=18,Fsw,1.5*Fsw-ET31/36*Fsw)/1000</f>
        <v>4.3408213477891228E-2</v>
      </c>
      <c r="EU41" s="459">
        <f>IF(EU31&lt;=Vin_mode,Fsw*EU31*Qg_boost/1000,0)+Constants!$D$24*EU31*IF(EU31&lt;=18,Fsw,1.5*Fsw-EU31/36*Fsw)/1000</f>
        <v>4.3222980442176963E-2</v>
      </c>
      <c r="EV41" s="459">
        <f>IF(EV31&lt;=Vin_mode,Fsw*EV31*Qg_boost/1000,0)+Constants!$D$24*EV31*IF(EV31&lt;=18,Fsw,1.5*Fsw-EV31/36*Fsw)/1000</f>
        <v>4.303173558673478E-2</v>
      </c>
      <c r="EW41" s="459">
        <f>IF(EW31&lt;=Vin_mode,Fsw*EW31*Qg_boost/1000,0)+Constants!$D$24*EW31*IF(EW31&lt;=18,Fsw,1.5*Fsw-EW31/36*Fsw)/1000</f>
        <v>4.2834478911564708E-2</v>
      </c>
      <c r="EX41" s="459">
        <f>IF(EX31&lt;=Vin_mode,Fsw*EX31*Qg_boost/1000,0)+Constants!$D$24*EX31*IF(EX31&lt;=18,Fsw,1.5*Fsw-EX31/36*Fsw)/1000</f>
        <v>4.2631210416666759E-2</v>
      </c>
      <c r="EY41" s="459">
        <f>IF(EY31&lt;=Vin_mode,Fsw*EY31*Qg_boost/1000,0)+Constants!$D$24*EY31*IF(EY31&lt;=18,Fsw,1.5*Fsw-EY31/36*Fsw)/1000</f>
        <v>4.2421930102040914E-2</v>
      </c>
      <c r="EZ41" s="459">
        <f>IF(EZ31&lt;=Vin_mode,Fsw*EZ31*Qg_boost/1000,0)+Constants!$D$24*EZ31*IF(EZ31&lt;=18,Fsw,1.5*Fsw-EZ31/36*Fsw)/1000</f>
        <v>4.2206637967687172E-2</v>
      </c>
      <c r="FA41" s="459">
        <f>IF(FA31&lt;=Vin_mode,Fsw*FA31*Qg_boost/1000,0)+Constants!$D$24*FA31*IF(FA31&lt;=18,Fsw,1.5*Fsw-FA31/36*Fsw)/1000</f>
        <v>4.1985334013605553E-2</v>
      </c>
      <c r="FB41" s="459">
        <f>IF(FB31&lt;=Vin_mode,Fsw*FB31*Qg_boost/1000,0)+Constants!$D$24*FB31*IF(FB31&lt;=18,Fsw,1.5*Fsw-FB31/36*Fsw)/1000</f>
        <v>4.1758018239796024E-2</v>
      </c>
      <c r="FC41" s="459">
        <f>IF(FC31&lt;=Vin_mode,Fsw*FC31*Qg_boost/1000,0)+Constants!$D$24*FC31*IF(FC31&lt;=18,Fsw,1.5*Fsw-FC31/36*Fsw)/1000</f>
        <v>4.1524690646258619E-2</v>
      </c>
      <c r="FD41" s="459">
        <f>IF(FD31&lt;=Vin_mode,Fsw*FD31*Qg_boost/1000,0)+Constants!$D$24*FD31*IF(FD31&lt;=18,Fsw,1.5*Fsw-FD31/36*Fsw)/1000</f>
        <v>4.1285351232993317E-2</v>
      </c>
      <c r="FE41" s="459">
        <f>IF(FE31&lt;=Vin_mode,Fsw*FE31*Qg_boost/1000,0)+Constants!$D$24*FE31*IF(FE31&lt;=18,Fsw,1.5*Fsw-FE31/36*Fsw)/1000</f>
        <v>4.1040000000000111E-2</v>
      </c>
      <c r="FF41" s="455"/>
    </row>
    <row r="42" spans="1:162" s="307" customFormat="1" ht="36" customHeight="1" x14ac:dyDescent="0.25">
      <c r="A42" s="159" t="s">
        <v>320</v>
      </c>
      <c r="B42" s="323"/>
      <c r="C42" s="321">
        <f>MAX(0,1-Vin_min*1.844/RNG)</f>
        <v>0.63778571428571418</v>
      </c>
      <c r="D42" s="323"/>
      <c r="E42" s="346" t="s">
        <v>323</v>
      </c>
      <c r="F42" s="347"/>
      <c r="G42" s="347"/>
      <c r="H42" s="347"/>
      <c r="I42" s="348"/>
      <c r="J42" s="306"/>
      <c r="K42" s="306"/>
      <c r="L42" s="306"/>
      <c r="M42" s="306"/>
      <c r="N42" s="306"/>
      <c r="O42" s="306"/>
      <c r="P42" s="440"/>
      <c r="Q42" s="441"/>
      <c r="R42" s="439"/>
      <c r="S42" s="439"/>
      <c r="T42" s="455" t="s">
        <v>334</v>
      </c>
      <c r="U42" s="457">
        <f ca="1">U31*Constants!$C$20/1000+SUM(U39:U41)</f>
        <v>1.0287523284178977</v>
      </c>
      <c r="V42" s="457">
        <f ca="1">V31*Constants!$C$20/1000+SUM(V39:V41)</f>
        <v>0.93653717402742676</v>
      </c>
      <c r="W42" s="457">
        <f ca="1">W31*Constants!$C$20/1000+SUM(W39:W41)</f>
        <v>0.85894462517781989</v>
      </c>
      <c r="X42" s="457">
        <f ca="1">X31*Constants!$C$20/1000+SUM(X39:X41)</f>
        <v>0.7929351666389004</v>
      </c>
      <c r="Y42" s="457">
        <f ca="1">Y31*Constants!$C$20/1000+SUM(Y39:Y41)</f>
        <v>0.73625647650587245</v>
      </c>
      <c r="Z42" s="457">
        <f ca="1">Z31*Constants!$C$20/1000+SUM(Z39:Z41)</f>
        <v>0.68720234280873027</v>
      </c>
      <c r="AA42" s="457">
        <f ca="1">AA31*Constants!$C$20/1000+SUM(AA39:AA41)</f>
        <v>0.6444558076320871</v>
      </c>
      <c r="AB42" s="457">
        <f ca="1">AB31*Constants!$C$20/1000+SUM(AB39:AB41)</f>
        <v>0.60698382477229318</v>
      </c>
      <c r="AC42" s="457">
        <f ca="1">AC31*Constants!$C$20/1000+SUM(AC39:AC41)</f>
        <v>0.57396457564831149</v>
      </c>
      <c r="AD42" s="457">
        <f ca="1">AD31*Constants!$C$20/1000+SUM(AD39:AD41)</f>
        <v>0.54473613513393326</v>
      </c>
      <c r="AE42" s="457">
        <f ca="1">AE31*Constants!$C$20/1000+SUM(AE39:AE41)</f>
        <v>0.51875947026720137</v>
      </c>
      <c r="AF42" s="457">
        <f ca="1">AF31*Constants!$C$20/1000+SUM(AF39:AF41)</f>
        <v>0.49559128713092576</v>
      </c>
      <c r="AG42" s="457">
        <f ca="1">AG31*Constants!$C$20/1000+SUM(AG39:AG41)</f>
        <v>0.47486378454143108</v>
      </c>
      <c r="AH42" s="457">
        <f ca="1">AH31*Constants!$C$20/1000+SUM(AH39:AH41)</f>
        <v>0.45626934078844777</v>
      </c>
      <c r="AI42" s="457">
        <f ca="1">AI31*Constants!$C$20/1000+SUM(AI39:AI41)</f>
        <v>0.43954878171244471</v>
      </c>
      <c r="AJ42" s="457">
        <f ca="1">AJ31*Constants!$C$20/1000+SUM(AJ39:AJ41)</f>
        <v>0.42448228734122789</v>
      </c>
      <c r="AK42" s="457">
        <f ca="1">AK31*Constants!$C$20/1000+SUM(AK39:AK41)</f>
        <v>0.41088226859837329</v>
      </c>
      <c r="AL42" s="457">
        <f ca="1">AL31*Constants!$C$20/1000+SUM(AL39:AL41)</f>
        <v>0.39858773294314775</v>
      </c>
      <c r="AM42" s="457">
        <f ca="1">AM31*Constants!$C$20/1000+SUM(AM39:AM41)</f>
        <v>0.38745978789004715</v>
      </c>
      <c r="AN42" s="457">
        <f ca="1">AN31*Constants!$C$20/1000+SUM(AN39:AN41)</f>
        <v>0.37737802305421692</v>
      </c>
      <c r="AO42" s="457">
        <f ca="1">AO31*Constants!$C$20/1000+SUM(AO39:AO41)</f>
        <v>0.36823757690298176</v>
      </c>
      <c r="AP42" s="457">
        <f ca="1">AP31*Constants!$C$20/1000+SUM(AP39:AP41)</f>
        <v>0.35994674182643593</v>
      </c>
      <c r="AQ42" s="457">
        <f ca="1">AQ31*Constants!$C$20/1000+SUM(AQ39:AQ41)</f>
        <v>0.35242499587548237</v>
      </c>
      <c r="AR42" s="457">
        <f ca="1">AR31*Constants!$C$20/1000+SUM(AR39:AR41)</f>
        <v>0.34560137523013912</v>
      </c>
      <c r="AS42" s="457">
        <f ca="1">AS31*Constants!$C$20/1000+SUM(AS39:AS41)</f>
        <v>0.33941312068989249</v>
      </c>
      <c r="AT42" s="457">
        <f ca="1">AT31*Constants!$C$20/1000+SUM(AT39:AT41)</f>
        <v>0.33380454599269377</v>
      </c>
      <c r="AU42" s="457">
        <f ca="1">AU31*Constants!$C$20/1000+SUM(AU39:AU41)</f>
        <v>0.32872608682207144</v>
      </c>
      <c r="AV42" s="457">
        <f ca="1">AV31*Constants!$C$20/1000+SUM(AV39:AV41)</f>
        <v>0.32413349784786216</v>
      </c>
      <c r="AW42" s="457">
        <f ca="1">AW31*Constants!$C$20/1000+SUM(AW39:AW41)</f>
        <v>0.31998717171175184</v>
      </c>
      <c r="AX42" s="457">
        <f ca="1">AX31*Constants!$C$20/1000+SUM(AX39:AX41)</f>
        <v>0.31625155898567936</v>
      </c>
      <c r="AY42" s="457">
        <f ca="1">AY31*Constants!$C$20/1000+SUM(AY39:AY41)</f>
        <v>0.31290418693345645</v>
      </c>
      <c r="AZ42" s="457">
        <f ca="1">AZ31*Constants!$C$20/1000+SUM(AZ39:AZ41)</f>
        <v>0.30993910696986859</v>
      </c>
      <c r="BA42" s="457">
        <f ca="1">BA31*Constants!$C$20/1000+SUM(BA39:BA41)</f>
        <v>0.30729408549615872</v>
      </c>
      <c r="BB42" s="457">
        <f ca="1">BB31*Constants!$C$20/1000+SUM(BB39:BB41)</f>
        <v>0.3049454767787359</v>
      </c>
      <c r="BC42" s="457">
        <f ca="1">BC31*Constants!$C$20/1000+SUM(BC39:BC41)</f>
        <v>0.30287181124117857</v>
      </c>
      <c r="BD42" s="457">
        <f ca="1">BD31*Constants!$C$20/1000+SUM(BD39:BD41)</f>
        <v>0.30105355638685793</v>
      </c>
      <c r="BE42" s="457">
        <f ca="1">BE31*Constants!$C$20/1000+SUM(BE39:BE41)</f>
        <v>0.29947290816301564</v>
      </c>
      <c r="BF42" s="457">
        <f ca="1">BF31*Constants!$C$20/1000+SUM(BF39:BF41)</f>
        <v>0.29811360837072115</v>
      </c>
      <c r="BG42" s="457">
        <f ca="1">BG31*Constants!$C$20/1000+SUM(BG39:BG41)</f>
        <v>0.2969607844329536</v>
      </c>
      <c r="BH42" s="457">
        <f ca="1">BH31*Constants!$C$20/1000+SUM(BH39:BH41)</f>
        <v>0.29600080841543441</v>
      </c>
      <c r="BI42" s="457">
        <f ca="1">BI31*Constants!$C$20/1000+SUM(BI39:BI41)</f>
        <v>0.29522117267598702</v>
      </c>
      <c r="BJ42" s="457">
        <f ca="1">BJ31*Constants!$C$20/1000+SUM(BJ39:BJ41)</f>
        <v>0.29461037991727035</v>
      </c>
      <c r="BK42" s="457">
        <f ca="1">BK31*Constants!$C$20/1000+SUM(BK39:BK41)</f>
        <v>0.29415784574998899</v>
      </c>
      <c r="BL42" s="457">
        <f ca="1">BL31*Constants!$C$20/1000+SUM(BL39:BL41)</f>
        <v>0.29385381215129647</v>
      </c>
      <c r="BM42" s="457">
        <f ca="1">BM31*Constants!$C$20/1000+SUM(BM39:BM41)</f>
        <v>0.29368927043588139</v>
      </c>
      <c r="BN42" s="457">
        <f ca="1">BN31*Constants!$C$20/1000+SUM(BN39:BN41)</f>
        <v>0.25736626332130474</v>
      </c>
      <c r="BO42" s="457">
        <f ca="1">BO31*Constants!$C$20/1000+SUM(BO39:BO41)</f>
        <v>0.25922775066054377</v>
      </c>
      <c r="BP42" s="457">
        <f ca="1">BP31*Constants!$C$20/1000+SUM(BP39:BP41)</f>
        <v>0.26114891505156163</v>
      </c>
      <c r="BQ42" s="457">
        <f ca="1">BQ31*Constants!$C$20/1000+SUM(BQ39:BQ41)</f>
        <v>0.26312814652116157</v>
      </c>
      <c r="BR42" s="457">
        <f ca="1">BR31*Constants!$C$20/1000+SUM(BR39:BR41)</f>
        <v>0.26516393165724739</v>
      </c>
      <c r="BS42" s="457">
        <f ca="1">BS31*Constants!$C$20/1000+SUM(BS39:BS41)</f>
        <v>0.2672548463138753</v>
      </c>
      <c r="BT42" s="457">
        <f ca="1">BT31*Constants!$C$20/1000+SUM(BT39:BT41)</f>
        <v>0.26939954897647345</v>
      </c>
      <c r="BU42" s="457">
        <f ca="1">BU31*Constants!$C$20/1000+SUM(BU39:BU41)</f>
        <v>0.27159677471812693</v>
      </c>
      <c r="BV42" s="457">
        <f ca="1">BV31*Constants!$C$20/1000+SUM(BV39:BV41)</f>
        <v>0.27384532968598541</v>
      </c>
      <c r="BW42" s="457">
        <f ca="1">BW31*Constants!$C$20/1000+SUM(BW39:BW41)</f>
        <v>0.27614408606394364</v>
      </c>
      <c r="BX42" s="457">
        <f ca="1">BX31*Constants!$C$20/1000+SUM(BX39:BX41)</f>
        <v>0.27849197746391907</v>
      </c>
      <c r="BY42" s="457">
        <f ca="1">BY31*Constants!$C$20/1000+SUM(BY39:BY41)</f>
        <v>0.28088799470344827</v>
      </c>
      <c r="BZ42" s="457">
        <f ca="1">BZ31*Constants!$C$20/1000+SUM(BZ39:BZ41)</f>
        <v>0.28333118193203499</v>
      </c>
      <c r="CA42" s="457">
        <f ca="1">CA31*Constants!$C$20/1000+SUM(CA39:CA41)</f>
        <v>0.28535751560962369</v>
      </c>
      <c r="CB42" s="457">
        <f ca="1">CB31*Constants!$C$20/1000+SUM(CB39:CB41)</f>
        <v>0.28712541396661173</v>
      </c>
      <c r="CC42" s="457">
        <f ca="1">CC31*Constants!$C$20/1000+SUM(CC39:CC41)</f>
        <v>0.28890853534369026</v>
      </c>
      <c r="CD42" s="457">
        <f ca="1">CD31*Constants!$C$20/1000+SUM(CD39:CD41)</f>
        <v>0.29070568456789109</v>
      </c>
      <c r="CE42" s="457">
        <f ca="1">CE31*Constants!$C$20/1000+SUM(CE39:CE41)</f>
        <v>0.29251570414138295</v>
      </c>
      <c r="CF42" s="457">
        <f ca="1">CF31*Constants!$C$20/1000+SUM(CF39:CF41)</f>
        <v>0.29433747201292593</v>
      </c>
      <c r="CG42" s="457">
        <f ca="1">CG31*Constants!$C$20/1000+SUM(CG39:CG41)</f>
        <v>0.296169899509797</v>
      </c>
      <c r="CH42" s="457">
        <f ca="1">CH31*Constants!$C$20/1000+SUM(CH39:CH41)</f>
        <v>0.29801192941691418</v>
      </c>
      <c r="CI42" s="457">
        <f ca="1">CI31*Constants!$C$20/1000+SUM(CI39:CI41)</f>
        <v>0.29986253419113784</v>
      </c>
      <c r="CJ42" s="457">
        <f ca="1">CJ31*Constants!$C$20/1000+SUM(CJ39:CJ41)</f>
        <v>0.30172071429985414</v>
      </c>
      <c r="CK42" s="457">
        <f ca="1">CK31*Constants!$C$20/1000+SUM(CK39:CK41)</f>
        <v>0.30358549667394957</v>
      </c>
      <c r="CL42" s="457">
        <f ca="1">CL31*Constants!$C$20/1000+SUM(CL39:CL41)</f>
        <v>0.3054559332661903</v>
      </c>
      <c r="CM42" s="457">
        <f ca="1">CM31*Constants!$C$20/1000+SUM(CM39:CM41)</f>
        <v>0.30733109970683081</v>
      </c>
      <c r="CN42" s="457">
        <f ca="1">CN31*Constants!$C$20/1000+SUM(CN39:CN41)</f>
        <v>0.30921009404900812</v>
      </c>
      <c r="CO42" s="457">
        <f ca="1">CO31*Constants!$C$20/1000+SUM(CO39:CO41)</f>
        <v>0.311092035597134</v>
      </c>
      <c r="CP42" s="457">
        <f ca="1">CP31*Constants!$C$20/1000+SUM(CP39:CP41)</f>
        <v>0.3129760638120937</v>
      </c>
      <c r="CQ42" s="457">
        <f ca="1">CQ31*Constants!$C$20/1000+SUM(CQ39:CQ41)</f>
        <v>0.31486133728759469</v>
      </c>
      <c r="CR42" s="457">
        <f ca="1">CR31*Constants!$C$20/1000+SUM(CR39:CR41)</f>
        <v>0.31674703279249466</v>
      </c>
      <c r="CS42" s="457">
        <f ca="1">CS31*Constants!$C$20/1000+SUM(CS39:CS41)</f>
        <v>0.31863234437437854</v>
      </c>
      <c r="CT42" s="457">
        <f ca="1">CT31*Constants!$C$20/1000+SUM(CT39:CT41)</f>
        <v>0.3205164825200511</v>
      </c>
      <c r="CU42" s="457">
        <f ca="1">CU31*Constants!$C$20/1000+SUM(CU39:CU41)</f>
        <v>0.32239867336897532</v>
      </c>
      <c r="CV42" s="457">
        <f ca="1">CV31*Constants!$C$20/1000+SUM(CV39:CV41)</f>
        <v>0.32427815797601556</v>
      </c>
      <c r="CW42" s="457">
        <f ca="1">CW31*Constants!$C$20/1000+SUM(CW39:CW41)</f>
        <v>0.32615419162014375</v>
      </c>
      <c r="CX42" s="457">
        <f ca="1">CX31*Constants!$C$20/1000+SUM(CX39:CX41)</f>
        <v>0.32802604315603945</v>
      </c>
      <c r="CY42" s="457">
        <f ca="1">CY31*Constants!$C$20/1000+SUM(CY39:CY41)</f>
        <v>0.32989299440576636</v>
      </c>
      <c r="CZ42" s="457">
        <f ca="1">CZ31*Constants!$C$20/1000+SUM(CZ39:CZ41)</f>
        <v>0.33175433958793166</v>
      </c>
      <c r="DA42" s="457">
        <f ca="1">DA31*Constants!$C$20/1000+SUM(DA39:DA41)</f>
        <v>0.33360938478194735</v>
      </c>
      <c r="DB42" s="457">
        <f ca="1">DB31*Constants!$C$20/1000+SUM(DB39:DB41)</f>
        <v>0.33545744742520084</v>
      </c>
      <c r="DC42" s="457">
        <f ca="1">DC31*Constants!$C$20/1000+SUM(DC39:DC41)</f>
        <v>0.33729785584111854</v>
      </c>
      <c r="DD42" s="457">
        <f ca="1">DD31*Constants!$C$20/1000+SUM(DD39:DD41)</f>
        <v>0.33912994879626757</v>
      </c>
      <c r="DE42" s="457">
        <f ca="1">DE31*Constants!$C$20/1000+SUM(DE39:DE41)</f>
        <v>0.34095307508478889</v>
      </c>
      <c r="DF42" s="457">
        <f ca="1">DF31*Constants!$C$20/1000+SUM(DF39:DF41)</f>
        <v>0.34276659313859126</v>
      </c>
      <c r="DG42" s="457">
        <f ca="1">DG31*Constants!$C$20/1000+SUM(DG39:DG41)</f>
        <v>0.34456987066186473</v>
      </c>
      <c r="DH42" s="457">
        <f ca="1">DH31*Constants!$C$20/1000+SUM(DH39:DH41)</f>
        <v>0.34636228428858462</v>
      </c>
      <c r="DI42" s="457">
        <f ca="1">DI31*Constants!$C$20/1000+SUM(DI39:DI41)</f>
        <v>0.34814321926179126</v>
      </c>
      <c r="DJ42" s="457">
        <f ca="1">DJ31*Constants!$C$20/1000+SUM(DJ39:DJ41)</f>
        <v>0.34991206913352668</v>
      </c>
      <c r="DK42" s="457">
        <f ca="1">DK31*Constants!$C$20/1000+SUM(DK39:DK41)</f>
        <v>0.35166823548440734</v>
      </c>
      <c r="DL42" s="457">
        <f ca="1">DL31*Constants!$C$20/1000+SUM(DL39:DL41)</f>
        <v>0.35341112766189758</v>
      </c>
      <c r="DM42" s="457">
        <f ca="1">DM31*Constants!$C$20/1000+SUM(DM39:DM41)</f>
        <v>0.35514016253643216</v>
      </c>
      <c r="DN42" s="457">
        <f ca="1">DN31*Constants!$C$20/1000+SUM(DN39:DN41)</f>
        <v>0.35685476427461338</v>
      </c>
      <c r="DO42" s="457">
        <f ca="1">DO31*Constants!$C$20/1000+SUM(DO39:DO41)</f>
        <v>0.35855436412878183</v>
      </c>
      <c r="DP42" s="457">
        <f ca="1">DP31*Constants!$C$20/1000+SUM(DP39:DP41)</f>
        <v>0.36023840024232784</v>
      </c>
      <c r="DQ42" s="457">
        <f ca="1">DQ31*Constants!$C$20/1000+SUM(DQ39:DQ41)</f>
        <v>0.36190631747017882</v>
      </c>
      <c r="DR42" s="457">
        <f ca="1">DR31*Constants!$C$20/1000+SUM(DR39:DR41)</f>
        <v>0.3635575672139586</v>
      </c>
      <c r="DS42" s="457">
        <f ca="1">DS31*Constants!$C$20/1000+SUM(DS39:DS41)</f>
        <v>0.36519160727137584</v>
      </c>
      <c r="DT42" s="457">
        <f ca="1">DT31*Constants!$C$20/1000+SUM(DT39:DT41)</f>
        <v>0.36680790169945804</v>
      </c>
      <c r="DU42" s="457">
        <f ca="1">DU31*Constants!$C$20/1000+SUM(DU39:DU41)</f>
        <v>0.36840592069130296</v>
      </c>
      <c r="DV42" s="457">
        <f ca="1">DV31*Constants!$C$20/1000+SUM(DV39:DV41)</f>
        <v>0.36998514046607356</v>
      </c>
      <c r="DW42" s="457">
        <f ca="1">DW31*Constants!$C$20/1000+SUM(DW39:DW41)</f>
        <v>0.37154504317202097</v>
      </c>
      <c r="DX42" s="457">
        <f ca="1">DX31*Constants!$C$20/1000+SUM(DX39:DX41)</f>
        <v>0.37308511680236767</v>
      </c>
      <c r="DY42" s="457">
        <f ca="1">DY31*Constants!$C$20/1000+SUM(DY39:DY41)</f>
        <v>0.37460485512394148</v>
      </c>
      <c r="DZ42" s="457">
        <f ca="1">DZ31*Constants!$C$20/1000+SUM(DZ39:DZ41)</f>
        <v>0.37610375761850118</v>
      </c>
      <c r="EA42" s="457">
        <f ca="1">EA31*Constants!$C$20/1000+SUM(EA39:EA41)</f>
        <v>0.37758132943674971</v>
      </c>
      <c r="EB42" s="457">
        <f ca="1">EB31*Constants!$C$20/1000+SUM(EB39:EB41)</f>
        <v>0.37903708136508635</v>
      </c>
      <c r="EC42" s="457">
        <f ca="1">EC31*Constants!$C$20/1000+SUM(EC39:EC41)</f>
        <v>0.38047052980520202</v>
      </c>
      <c r="ED42" s="457">
        <f ca="1">ED31*Constants!$C$20/1000+SUM(ED39:ED41)</f>
        <v>0.38188119676668386</v>
      </c>
      <c r="EE42" s="457">
        <f ca="1">EE31*Constants!$C$20/1000+SUM(EE39:EE41)</f>
        <v>0.38326860987285039</v>
      </c>
      <c r="EF42" s="457">
        <f ca="1">EF31*Constants!$C$20/1000+SUM(EF39:EF41)</f>
        <v>0.3846323023801046</v>
      </c>
      <c r="EG42" s="457">
        <f ca="1">EG31*Constants!$C$20/1000+SUM(EG39:EG41)</f>
        <v>0.38597181321115237</v>
      </c>
      <c r="EH42" s="457">
        <f ca="1">EH31*Constants!$C$20/1000+SUM(EH39:EH41)</f>
        <v>0.38728668700250868</v>
      </c>
      <c r="EI42" s="457">
        <f ca="1">EI31*Constants!$C$20/1000+SUM(EI39:EI41)</f>
        <v>0.38857647416677943</v>
      </c>
      <c r="EJ42" s="457">
        <f ca="1">EJ31*Constants!$C$20/1000+SUM(EJ39:EJ41)</f>
        <v>0.38984073097029098</v>
      </c>
      <c r="EK42" s="457">
        <f ca="1">EK31*Constants!$C$20/1000+SUM(EK39:EK41)</f>
        <v>0.3910790196267151</v>
      </c>
      <c r="EL42" s="457">
        <f ca="1">EL31*Constants!$C$20/1000+SUM(EL39:EL41)</f>
        <v>0.39229090840743219</v>
      </c>
      <c r="EM42" s="457">
        <f ca="1">EM31*Constants!$C$20/1000+SUM(EM39:EM41)</f>
        <v>0.39347597176946736</v>
      </c>
      <c r="EN42" s="457">
        <f ca="1">EN31*Constants!$C$20/1000+SUM(EN39:EN41)</f>
        <v>0.39463379050193759</v>
      </c>
      <c r="EO42" s="457">
        <f ca="1">EO31*Constants!$C$20/1000+SUM(EO39:EO41)</f>
        <v>0.39576395189206215</v>
      </c>
      <c r="EP42" s="457">
        <f ca="1">EP31*Constants!$C$20/1000+SUM(EP39:EP41)</f>
        <v>0.39686604991190999</v>
      </c>
      <c r="EQ42" s="457">
        <f ca="1">EQ31*Constants!$C$20/1000+SUM(EQ39:EQ41)</f>
        <v>0.39793968542718894</v>
      </c>
      <c r="ER42" s="457">
        <f ca="1">ER31*Constants!$C$20/1000+SUM(ER39:ER41)</f>
        <v>0.39898446642953295</v>
      </c>
      <c r="ES42" s="457">
        <f ca="1">ES31*Constants!$C$20/1000+SUM(ES39:ES41)</f>
        <v>0.40000000829389593</v>
      </c>
      <c r="ET42" s="457">
        <f ca="1">ET31*Constants!$C$20/1000+SUM(ET39:ET41)</f>
        <v>0.40098593406284527</v>
      </c>
      <c r="EU42" s="457">
        <f ca="1">EU31*Constants!$C$20/1000+SUM(EU39:EU41)</f>
        <v>0.40194187475973414</v>
      </c>
      <c r="EV42" s="457">
        <f ca="1">EV31*Constants!$C$20/1000+SUM(EV39:EV41)</f>
        <v>0.40286746973295229</v>
      </c>
      <c r="EW42" s="457">
        <f ca="1">EW31*Constants!$C$20/1000+SUM(EW39:EW41)</f>
        <v>0.40376236703368762</v>
      </c>
      <c r="EX42" s="457">
        <f ca="1">EX31*Constants!$C$20/1000+SUM(EX39:EX41)</f>
        <v>0.40462622382989438</v>
      </c>
      <c r="EY42" s="457">
        <f ca="1">EY31*Constants!$C$20/1000+SUM(EY39:EY41)</f>
        <v>0.40545870685945634</v>
      </c>
      <c r="EZ42" s="457">
        <f ca="1">EZ31*Constants!$C$20/1000+SUM(EZ39:EZ41)</f>
        <v>0.40625949292585423</v>
      </c>
      <c r="FA42" s="457">
        <f ca="1">FA31*Constants!$C$20/1000+SUM(FA39:FA41)</f>
        <v>0.40702826944001047</v>
      </c>
      <c r="FB42" s="457">
        <f ca="1">FB31*Constants!$C$20/1000+SUM(FB39:FB41)</f>
        <v>0.40776473501238314</v>
      </c>
      <c r="FC42" s="457">
        <f ca="1">FC31*Constants!$C$20/1000+SUM(FC39:FC41)</f>
        <v>0.40846860009983255</v>
      </c>
      <c r="FD42" s="457">
        <f ca="1">FD31*Constants!$C$20/1000+SUM(FD39:FD41)</f>
        <v>0.40913958771228531</v>
      </c>
      <c r="FE42" s="457">
        <f ca="1">FE31*Constants!$C$20/1000+SUM(FE39:FE41)</f>
        <v>0.40977743418478385</v>
      </c>
      <c r="FF42" s="455"/>
    </row>
    <row r="43" spans="1:162" ht="18" customHeight="1" x14ac:dyDescent="0.35">
      <c r="A43" s="38" t="s">
        <v>266</v>
      </c>
      <c r="B43" s="323"/>
      <c r="C43" s="321">
        <f>MAX(0,1-Vin_typ*1.844/RNG)</f>
        <v>0.20971428571428574</v>
      </c>
      <c r="D43" s="323"/>
      <c r="E43" s="12" t="s">
        <v>322</v>
      </c>
      <c r="F43" s="136"/>
      <c r="G43" s="10"/>
      <c r="H43" s="10"/>
      <c r="I43" s="39"/>
      <c r="J43" s="443"/>
      <c r="R43" s="439"/>
      <c r="S43" s="439"/>
      <c r="T43" s="455" t="s">
        <v>344</v>
      </c>
      <c r="U43" s="460">
        <f t="shared" ref="U43:AZ43" ca="1" si="33">U42*Rthja+$U$28</f>
        <v>63.063836151462212</v>
      </c>
      <c r="V43" s="461">
        <f t="shared" ca="1" si="33"/>
        <v>59.651875439014788</v>
      </c>
      <c r="W43" s="461">
        <f t="shared" ca="1" si="33"/>
        <v>56.780951131579336</v>
      </c>
      <c r="X43" s="461">
        <f t="shared" ca="1" si="33"/>
        <v>54.338601165639318</v>
      </c>
      <c r="Y43" s="461">
        <f t="shared" ca="1" si="33"/>
        <v>52.241489630717282</v>
      </c>
      <c r="Z43" s="461">
        <f t="shared" ca="1" si="33"/>
        <v>50.426486683923017</v>
      </c>
      <c r="AA43" s="461">
        <f t="shared" ca="1" si="33"/>
        <v>48.844864882387228</v>
      </c>
      <c r="AB43" s="461">
        <f t="shared" ca="1" si="33"/>
        <v>47.458401516574853</v>
      </c>
      <c r="AC43" s="461">
        <f t="shared" ca="1" si="33"/>
        <v>46.236689298987528</v>
      </c>
      <c r="AD43" s="461">
        <f t="shared" ca="1" si="33"/>
        <v>45.155236999955534</v>
      </c>
      <c r="AE43" s="461">
        <f t="shared" ca="1" si="33"/>
        <v>44.194100399886452</v>
      </c>
      <c r="AF43" s="461">
        <f t="shared" ca="1" si="33"/>
        <v>43.336877623844252</v>
      </c>
      <c r="AG43" s="461">
        <f t="shared" ca="1" si="33"/>
        <v>42.569960028032952</v>
      </c>
      <c r="AH43" s="461">
        <f t="shared" ca="1" si="33"/>
        <v>41.881965609172568</v>
      </c>
      <c r="AI43" s="461">
        <f t="shared" ca="1" si="33"/>
        <v>41.263304923360451</v>
      </c>
      <c r="AJ43" s="461">
        <f t="shared" ca="1" si="33"/>
        <v>40.705844631625432</v>
      </c>
      <c r="AK43" s="461">
        <f t="shared" ca="1" si="33"/>
        <v>40.202643938139815</v>
      </c>
      <c r="AL43" s="461">
        <f t="shared" ca="1" si="33"/>
        <v>39.747746118896465</v>
      </c>
      <c r="AM43" s="461">
        <f t="shared" ca="1" si="33"/>
        <v>39.33601215193174</v>
      </c>
      <c r="AN43" s="461">
        <f t="shared" ca="1" si="33"/>
        <v>38.962986853006029</v>
      </c>
      <c r="AO43" s="461">
        <f t="shared" ca="1" si="33"/>
        <v>38.624790345410325</v>
      </c>
      <c r="AP43" s="461">
        <f t="shared" ca="1" si="33"/>
        <v>38.318029447578127</v>
      </c>
      <c r="AQ43" s="461">
        <f t="shared" ca="1" si="33"/>
        <v>38.039724847392847</v>
      </c>
      <c r="AR43" s="461">
        <f t="shared" ca="1" si="33"/>
        <v>37.787250883515149</v>
      </c>
      <c r="AS43" s="461">
        <f t="shared" ca="1" si="33"/>
        <v>37.558285465526026</v>
      </c>
      <c r="AT43" s="461">
        <f t="shared" ca="1" si="33"/>
        <v>37.350768201729672</v>
      </c>
      <c r="AU43" s="461">
        <f t="shared" ca="1" si="33"/>
        <v>37.162865212416641</v>
      </c>
      <c r="AV43" s="461">
        <f t="shared" ca="1" si="33"/>
        <v>36.992939420370902</v>
      </c>
      <c r="AW43" s="461">
        <f t="shared" ca="1" si="33"/>
        <v>36.839525353334821</v>
      </c>
      <c r="AX43" s="461">
        <f t="shared" ca="1" si="33"/>
        <v>36.701307682470137</v>
      </c>
      <c r="AY43" s="461">
        <f t="shared" ca="1" si="33"/>
        <v>36.577454916537889</v>
      </c>
      <c r="AZ43" s="461">
        <f t="shared" ca="1" si="33"/>
        <v>36.46774695788514</v>
      </c>
      <c r="BA43" s="461">
        <f t="shared" ref="BA43:CF43" ca="1" si="34">BA42*Rthja+$U$28</f>
        <v>36.369881163357874</v>
      </c>
      <c r="BB43" s="461">
        <f t="shared" ca="1" si="34"/>
        <v>36.282982640813231</v>
      </c>
      <c r="BC43" s="461">
        <f t="shared" ca="1" si="34"/>
        <v>36.206257015923605</v>
      </c>
      <c r="BD43" s="461">
        <f t="shared" ca="1" si="34"/>
        <v>36.138981586313747</v>
      </c>
      <c r="BE43" s="461">
        <f t="shared" ca="1" si="34"/>
        <v>36.080497602031578</v>
      </c>
      <c r="BF43" s="461">
        <f t="shared" ca="1" si="34"/>
        <v>36.030203509716685</v>
      </c>
      <c r="BG43" s="461">
        <f t="shared" ca="1" si="34"/>
        <v>35.987549024019287</v>
      </c>
      <c r="BH43" s="461">
        <f t="shared" ca="1" si="34"/>
        <v>35.952029911371071</v>
      </c>
      <c r="BI43" s="461">
        <f t="shared" ca="1" si="34"/>
        <v>35.92318338901152</v>
      </c>
      <c r="BJ43" s="461">
        <f t="shared" ca="1" si="34"/>
        <v>35.900584056939003</v>
      </c>
      <c r="BK43" s="461">
        <f t="shared" ca="1" si="34"/>
        <v>35.883840292749596</v>
      </c>
      <c r="BL43" s="461">
        <f t="shared" ca="1" si="34"/>
        <v>35.872591049597972</v>
      </c>
      <c r="BM43" s="461">
        <f t="shared" ca="1" si="34"/>
        <v>35.866503006127616</v>
      </c>
      <c r="BN43" s="461">
        <f t="shared" ca="1" si="34"/>
        <v>34.522551742888275</v>
      </c>
      <c r="BO43" s="461">
        <f t="shared" ca="1" si="34"/>
        <v>34.591426774440123</v>
      </c>
      <c r="BP43" s="461">
        <f t="shared" ca="1" si="34"/>
        <v>34.662509856907782</v>
      </c>
      <c r="BQ43" s="461">
        <f t="shared" ca="1" si="34"/>
        <v>34.735741421282981</v>
      </c>
      <c r="BR43" s="461">
        <f t="shared" ca="1" si="34"/>
        <v>34.811065471318152</v>
      </c>
      <c r="BS43" s="461">
        <f t="shared" ca="1" si="34"/>
        <v>34.888429313613386</v>
      </c>
      <c r="BT43" s="461">
        <f t="shared" ca="1" si="34"/>
        <v>34.967783312129519</v>
      </c>
      <c r="BU43" s="461">
        <f t="shared" ca="1" si="34"/>
        <v>35.049080664570695</v>
      </c>
      <c r="BV43" s="461">
        <f t="shared" ca="1" si="34"/>
        <v>35.132277198381459</v>
      </c>
      <c r="BW43" s="461">
        <f t="shared" ca="1" si="34"/>
        <v>35.217331184365918</v>
      </c>
      <c r="BX43" s="461">
        <f t="shared" ca="1" si="34"/>
        <v>35.30420316616501</v>
      </c>
      <c r="BY43" s="461">
        <f t="shared" ca="1" si="34"/>
        <v>35.39285580402759</v>
      </c>
      <c r="BZ43" s="461">
        <f t="shared" ca="1" si="34"/>
        <v>35.483253731485291</v>
      </c>
      <c r="CA43" s="461">
        <f t="shared" ca="1" si="34"/>
        <v>35.55822807755608</v>
      </c>
      <c r="CB43" s="461">
        <f t="shared" ca="1" si="34"/>
        <v>35.623640316764636</v>
      </c>
      <c r="CC43" s="461">
        <f t="shared" ca="1" si="34"/>
        <v>35.689615807716542</v>
      </c>
      <c r="CD43" s="461">
        <f t="shared" ca="1" si="34"/>
        <v>35.756110329011975</v>
      </c>
      <c r="CE43" s="461">
        <f t="shared" ca="1" si="34"/>
        <v>35.823081053231171</v>
      </c>
      <c r="CF43" s="461">
        <f t="shared" ca="1" si="34"/>
        <v>35.890486464478258</v>
      </c>
      <c r="CG43" s="461">
        <f t="shared" ref="CG43:DL43" ca="1" si="35">CG42*Rthja+$U$28</f>
        <v>35.958286281862485</v>
      </c>
      <c r="CH43" s="461">
        <f t="shared" ca="1" si="35"/>
        <v>36.026441388425823</v>
      </c>
      <c r="CI43" s="461">
        <f t="shared" ca="1" si="35"/>
        <v>36.0949137650721</v>
      </c>
      <c r="CJ43" s="461">
        <f t="shared" ca="1" si="35"/>
        <v>36.163666429094604</v>
      </c>
      <c r="CK43" s="461">
        <f t="shared" ca="1" si="35"/>
        <v>36.232663376936131</v>
      </c>
      <c r="CL43" s="461">
        <f t="shared" ca="1" si="35"/>
        <v>36.301869530849039</v>
      </c>
      <c r="CM43" s="461">
        <f t="shared" ca="1" si="35"/>
        <v>36.371250689152738</v>
      </c>
      <c r="CN43" s="461">
        <f t="shared" ca="1" si="35"/>
        <v>36.440773479813302</v>
      </c>
      <c r="CO43" s="461">
        <f t="shared" ca="1" si="35"/>
        <v>36.510405317093955</v>
      </c>
      <c r="CP43" s="461">
        <f t="shared" ca="1" si="35"/>
        <v>36.580114361047464</v>
      </c>
      <c r="CQ43" s="461">
        <f t="shared" ca="1" si="35"/>
        <v>36.649869479641005</v>
      </c>
      <c r="CR43" s="461">
        <f t="shared" ca="1" si="35"/>
        <v>36.7196402133223</v>
      </c>
      <c r="CS43" s="461">
        <f t="shared" ca="1" si="35"/>
        <v>36.789396741852002</v>
      </c>
      <c r="CT43" s="461">
        <f t="shared" ca="1" si="35"/>
        <v>36.85910985324189</v>
      </c>
      <c r="CU43" s="461">
        <f t="shared" ca="1" si="35"/>
        <v>36.928750914652085</v>
      </c>
      <c r="CV43" s="461">
        <f t="shared" ca="1" si="35"/>
        <v>36.998291845112576</v>
      </c>
      <c r="CW43" s="461">
        <f t="shared" ca="1" si="35"/>
        <v>37.067705089945321</v>
      </c>
      <c r="CX43" s="461">
        <f t="shared" ca="1" si="35"/>
        <v>37.136963596773455</v>
      </c>
      <c r="CY43" s="461">
        <f t="shared" ca="1" si="35"/>
        <v>37.206040793013358</v>
      </c>
      <c r="CZ43" s="461">
        <f t="shared" ca="1" si="35"/>
        <v>37.274910564753469</v>
      </c>
      <c r="DA43" s="461">
        <f t="shared" ca="1" si="35"/>
        <v>37.343547236932054</v>
      </c>
      <c r="DB43" s="461">
        <f t="shared" ca="1" si="35"/>
        <v>37.411925554732434</v>
      </c>
      <c r="DC43" s="461">
        <f t="shared" ca="1" si="35"/>
        <v>37.480020666121383</v>
      </c>
      <c r="DD43" s="461">
        <f t="shared" ca="1" si="35"/>
        <v>37.547808105461897</v>
      </c>
      <c r="DE43" s="461">
        <f t="shared" ca="1" si="35"/>
        <v>37.615263778137191</v>
      </c>
      <c r="DF43" s="461">
        <f t="shared" ca="1" si="35"/>
        <v>37.682363946127879</v>
      </c>
      <c r="DG43" s="461">
        <f t="shared" ca="1" si="35"/>
        <v>37.749085214488993</v>
      </c>
      <c r="DH43" s="461">
        <f t="shared" ca="1" si="35"/>
        <v>37.815404518677632</v>
      </c>
      <c r="DI43" s="461">
        <f t="shared" ca="1" si="35"/>
        <v>37.881299112686278</v>
      </c>
      <c r="DJ43" s="461">
        <f t="shared" ca="1" si="35"/>
        <v>37.946746557940486</v>
      </c>
      <c r="DK43" s="461">
        <f t="shared" ca="1" si="35"/>
        <v>38.011724712923069</v>
      </c>
      <c r="DL43" s="461">
        <f t="shared" ca="1" si="35"/>
        <v>38.076211723490211</v>
      </c>
      <c r="DM43" s="461">
        <f t="shared" ref="DM43:ER43" ca="1" si="36">DM42*Rthja+$U$28</f>
        <v>38.140186013847988</v>
      </c>
      <c r="DN43" s="461">
        <f t="shared" ca="1" si="36"/>
        <v>38.203626278160698</v>
      </c>
      <c r="DO43" s="461">
        <f t="shared" ca="1" si="36"/>
        <v>38.266511472764925</v>
      </c>
      <c r="DP43" s="461">
        <f t="shared" ca="1" si="36"/>
        <v>38.328820808966128</v>
      </c>
      <c r="DQ43" s="461">
        <f t="shared" ca="1" si="36"/>
        <v>38.390533746396613</v>
      </c>
      <c r="DR43" s="461">
        <f t="shared" ca="1" si="36"/>
        <v>38.451629986916473</v>
      </c>
      <c r="DS43" s="461">
        <f t="shared" ca="1" si="36"/>
        <v>38.512089469040902</v>
      </c>
      <c r="DT43" s="461">
        <f t="shared" ca="1" si="36"/>
        <v>38.57189236287995</v>
      </c>
      <c r="DU43" s="461">
        <f t="shared" ca="1" si="36"/>
        <v>38.631019065578208</v>
      </c>
      <c r="DV43" s="461">
        <f t="shared" ca="1" si="36"/>
        <v>38.689450197244724</v>
      </c>
      <c r="DW43" s="461">
        <f t="shared" ca="1" si="36"/>
        <v>38.747166597364775</v>
      </c>
      <c r="DX43" s="461">
        <f t="shared" ca="1" si="36"/>
        <v>38.804149321687603</v>
      </c>
      <c r="DY43" s="461">
        <f t="shared" ca="1" si="36"/>
        <v>38.860379639585837</v>
      </c>
      <c r="DZ43" s="461">
        <f t="shared" ca="1" si="36"/>
        <v>38.915839031884545</v>
      </c>
      <c r="EA43" s="461">
        <f t="shared" ca="1" si="36"/>
        <v>38.970509189159742</v>
      </c>
      <c r="EB43" s="461">
        <f t="shared" ca="1" si="36"/>
        <v>39.024372010508195</v>
      </c>
      <c r="EC43" s="461">
        <f t="shared" ca="1" si="36"/>
        <v>39.077409602792471</v>
      </c>
      <c r="ED43" s="461">
        <f t="shared" ca="1" si="36"/>
        <v>39.129604280367303</v>
      </c>
      <c r="EE43" s="461">
        <f t="shared" ca="1" si="36"/>
        <v>39.180938565295463</v>
      </c>
      <c r="EF43" s="461">
        <f t="shared" ca="1" si="36"/>
        <v>39.231395188063871</v>
      </c>
      <c r="EG43" s="461">
        <f t="shared" ca="1" si="36"/>
        <v>39.280957088812642</v>
      </c>
      <c r="EH43" s="461">
        <f t="shared" ca="1" si="36"/>
        <v>39.329607419092824</v>
      </c>
      <c r="EI43" s="461">
        <f t="shared" ca="1" si="36"/>
        <v>39.377329544170841</v>
      </c>
      <c r="EJ43" s="461">
        <f t="shared" ca="1" si="36"/>
        <v>39.424107045900769</v>
      </c>
      <c r="EK43" s="461">
        <f t="shared" ca="1" si="36"/>
        <v>39.469923726188455</v>
      </c>
      <c r="EL43" s="461">
        <f t="shared" ca="1" si="36"/>
        <v>39.51476361107499</v>
      </c>
      <c r="EM43" s="461">
        <f t="shared" ca="1" si="36"/>
        <v>39.558610955470293</v>
      </c>
      <c r="EN43" s="461">
        <f t="shared" ca="1" si="36"/>
        <v>39.601450248571695</v>
      </c>
      <c r="EO43" s="461">
        <f t="shared" ca="1" si="36"/>
        <v>39.643266220006296</v>
      </c>
      <c r="EP43" s="461">
        <f t="shared" ca="1" si="36"/>
        <v>39.684043846740671</v>
      </c>
      <c r="EQ43" s="461">
        <f t="shared" ca="1" si="36"/>
        <v>39.723768360805991</v>
      </c>
      <c r="ER43" s="461">
        <f t="shared" ca="1" si="36"/>
        <v>39.762425257892716</v>
      </c>
      <c r="ES43" s="461">
        <f t="shared" ref="ES43:FE43" ca="1" si="37">ES42*Rthja+$U$28</f>
        <v>39.800000306874153</v>
      </c>
      <c r="ET43" s="461">
        <f t="shared" ca="1" si="37"/>
        <v>39.836479560325273</v>
      </c>
      <c r="EU43" s="461">
        <f t="shared" ca="1" si="37"/>
        <v>39.871849366110162</v>
      </c>
      <c r="EV43" s="461">
        <f t="shared" ca="1" si="37"/>
        <v>39.906096380119237</v>
      </c>
      <c r="EW43" s="461">
        <f t="shared" ca="1" si="37"/>
        <v>39.939207580246446</v>
      </c>
      <c r="EX43" s="461">
        <f t="shared" ca="1" si="37"/>
        <v>39.971170281706094</v>
      </c>
      <c r="EY43" s="461">
        <f t="shared" ca="1" si="37"/>
        <v>40.001972153799883</v>
      </c>
      <c r="EZ43" s="461">
        <f t="shared" ca="1" si="37"/>
        <v>40.031601238256606</v>
      </c>
      <c r="FA43" s="461">
        <f t="shared" ca="1" si="37"/>
        <v>40.060045969280388</v>
      </c>
      <c r="FB43" s="461">
        <f t="shared" ca="1" si="37"/>
        <v>40.087295195458175</v>
      </c>
      <c r="FC43" s="461">
        <f t="shared" ca="1" si="37"/>
        <v>40.1133382036938</v>
      </c>
      <c r="FD43" s="461">
        <f t="shared" ca="1" si="37"/>
        <v>40.138164745354558</v>
      </c>
      <c r="FE43" s="461">
        <f t="shared" ca="1" si="37"/>
        <v>40.161765064836999</v>
      </c>
      <c r="FF43" s="455"/>
    </row>
    <row r="44" spans="1:162" ht="36" customHeight="1" thickBot="1" x14ac:dyDescent="0.3">
      <c r="A44" s="159" t="s">
        <v>321</v>
      </c>
      <c r="B44" s="240">
        <f>Constants!$D$18*IF(Vin_typ&lt;=18,Fsw,1.5*Fsw-Vin_typ/36*Fsw)/1000</f>
        <v>4.8000000000000001E-2</v>
      </c>
      <c r="C44" s="240">
        <f ca="1">IF(Vin_typ&lt;=Vin_mode,((C43-1)*(Vout_typ+VF)-VF-Iout/(1-C43)*(C43*Rds_boost_max/1000+LoDCR/1000))/(Iout/(1-C43)*Constants!D21/1000-Vin_typ-VF),(Vout_typ+2*VF+Iout*LoDCR/1000)/(Vin_typ+VF-Iout*Constants!D21/1000))</f>
        <v>0.83560506674347534</v>
      </c>
      <c r="D44" s="303">
        <f>1-Constants!$D$19*IF(Vin_typ&lt;=18,Fsw,1.5*Fsw-Vin_typ/36*Fsw)/1000</f>
        <v>0.95199999999999996</v>
      </c>
      <c r="E44" s="338" t="s">
        <v>326</v>
      </c>
      <c r="F44" s="339"/>
      <c r="G44" s="339"/>
      <c r="H44" s="339"/>
      <c r="I44" s="340"/>
      <c r="J44" s="442"/>
      <c r="L44" s="308"/>
      <c r="R44" s="439"/>
      <c r="S44" s="439"/>
      <c r="T44" s="455" t="s">
        <v>345</v>
      </c>
      <c r="U44" s="460">
        <f ca="1">Constants!$D$21+Constants!$D$21*Constants!$C$22/100*(U43-25)</f>
        <v>137.21564284829549</v>
      </c>
      <c r="V44" s="460">
        <f ca="1">Constants!$D$21+Constants!$D$21*Constants!$C$22/100*(V43-25)</f>
        <v>134.77609093889558</v>
      </c>
      <c r="W44" s="460">
        <f ca="1">Constants!$D$21+Constants!$D$21*Constants!$C$22/100*(W43-25)</f>
        <v>132.72338005907923</v>
      </c>
      <c r="X44" s="460">
        <f ca="1">Constants!$D$21+Constants!$D$21*Constants!$C$22/100*(X43-25)</f>
        <v>130.97709983343211</v>
      </c>
      <c r="Y44" s="460">
        <f ca="1">Constants!$D$21+Constants!$D$21*Constants!$C$22/100*(Y43-25)</f>
        <v>129.47766508596285</v>
      </c>
      <c r="Z44" s="460">
        <f ca="1">Constants!$D$21+Constants!$D$21*Constants!$C$22/100*(Z43-25)</f>
        <v>128.17993797900496</v>
      </c>
      <c r="AA44" s="460">
        <f ca="1">Constants!$D$21+Constants!$D$21*Constants!$C$22/100*(AA43-25)</f>
        <v>127.04907839090687</v>
      </c>
      <c r="AB44" s="460">
        <f ca="1">Constants!$D$21+Constants!$D$21*Constants!$C$22/100*(AB43-25)</f>
        <v>126.05775708435101</v>
      </c>
      <c r="AC44" s="460">
        <f ca="1">Constants!$D$21+Constants!$D$21*Constants!$C$22/100*(AC43-25)</f>
        <v>125.18423284877608</v>
      </c>
      <c r="AD44" s="460">
        <f ca="1">Constants!$D$21+Constants!$D$21*Constants!$C$22/100*(AD43-25)</f>
        <v>124.4109944549682</v>
      </c>
      <c r="AE44" s="460">
        <f ca="1">Constants!$D$21+Constants!$D$21*Constants!$C$22/100*(AE43-25)</f>
        <v>123.72378178591882</v>
      </c>
      <c r="AF44" s="460">
        <f ca="1">Constants!$D$21+Constants!$D$21*Constants!$C$22/100*(AF43-25)</f>
        <v>123.11086750104865</v>
      </c>
      <c r="AG44" s="460">
        <f ca="1">Constants!$D$21+Constants!$D$21*Constants!$C$22/100*(AG43-25)</f>
        <v>122.56252142004357</v>
      </c>
      <c r="AH44" s="460">
        <f ca="1">Constants!$D$21+Constants!$D$21*Constants!$C$22/100*(AH43-25)</f>
        <v>122.07060541055839</v>
      </c>
      <c r="AI44" s="460">
        <f ca="1">Constants!$D$21+Constants!$D$21*Constants!$C$22/100*(AI43-25)</f>
        <v>121.62826302020272</v>
      </c>
      <c r="AJ44" s="460">
        <f ca="1">Constants!$D$21+Constants!$D$21*Constants!$C$22/100*(AJ43-25)</f>
        <v>121.22967891161218</v>
      </c>
      <c r="AK44" s="460">
        <f ca="1">Constants!$D$21+Constants!$D$21*Constants!$C$22/100*(AK43-25)</f>
        <v>120.86989041576997</v>
      </c>
      <c r="AL44" s="460">
        <f ca="1">Constants!$D$21+Constants!$D$21*Constants!$C$22/100*(AL43-25)</f>
        <v>120.54463847501097</v>
      </c>
      <c r="AM44" s="460">
        <f ca="1">Constants!$D$21+Constants!$D$21*Constants!$C$22/100*(AM43-25)</f>
        <v>120.25024868863119</v>
      </c>
      <c r="AN44" s="460">
        <f ca="1">Constants!$D$21+Constants!$D$21*Constants!$C$22/100*(AN43-25)</f>
        <v>119.98353559989931</v>
      </c>
      <c r="AO44" s="460">
        <f ca="1">Constants!$D$21+Constants!$D$21*Constants!$C$22/100*(AO43-25)</f>
        <v>119.74172509696838</v>
      </c>
      <c r="AP44" s="460">
        <f ca="1">Constants!$D$21+Constants!$D$21*Constants!$C$22/100*(AP43-25)</f>
        <v>119.52239105501836</v>
      </c>
      <c r="AQ44" s="460">
        <f ca="1">Constants!$D$21+Constants!$D$21*Constants!$C$22/100*(AQ43-25)</f>
        <v>119.32340326588589</v>
      </c>
      <c r="AR44" s="460">
        <f ca="1">Constants!$D$21+Constants!$D$21*Constants!$C$22/100*(AR43-25)</f>
        <v>119.14288438171333</v>
      </c>
      <c r="AS44" s="460">
        <f ca="1">Constants!$D$21+Constants!$D$21*Constants!$C$22/100*(AS43-25)</f>
        <v>118.97917410785111</v>
      </c>
      <c r="AT44" s="460">
        <f ca="1">Constants!$D$21+Constants!$D$21*Constants!$C$22/100*(AT43-25)</f>
        <v>118.83079926423672</v>
      </c>
      <c r="AU44" s="460">
        <f ca="1">Constants!$D$21+Constants!$D$21*Constants!$C$22/100*(AU43-25)</f>
        <v>118.6964486268779</v>
      </c>
      <c r="AV44" s="460">
        <f ca="1">Constants!$D$21+Constants!$D$21*Constants!$C$22/100*(AV43-25)</f>
        <v>118.5749516855652</v>
      </c>
      <c r="AW44" s="460">
        <f ca="1">Constants!$D$21+Constants!$D$21*Constants!$C$22/100*(AW43-25)</f>
        <v>118.46526062763439</v>
      </c>
      <c r="AX44" s="460">
        <f ca="1">Constants!$D$21+Constants!$D$21*Constants!$C$22/100*(AX43-25)</f>
        <v>118.36643499296615</v>
      </c>
      <c r="AY44" s="460">
        <f ca="1">Constants!$D$21+Constants!$D$21*Constants!$C$22/100*(AY43-25)</f>
        <v>118.2778802653246</v>
      </c>
      <c r="AZ44" s="460">
        <f ca="1">Constants!$D$21+Constants!$D$21*Constants!$C$22/100*(AZ43-25)</f>
        <v>118.19943907488788</v>
      </c>
      <c r="BA44" s="460">
        <f ca="1">Constants!$D$21+Constants!$D$21*Constants!$C$22/100*(BA43-25)</f>
        <v>118.12946503180088</v>
      </c>
      <c r="BB44" s="460">
        <f ca="1">Constants!$D$21+Constants!$D$21*Constants!$C$22/100*(BB43-25)</f>
        <v>118.06733258818146</v>
      </c>
      <c r="BC44" s="460">
        <f ca="1">Constants!$D$21+Constants!$D$21*Constants!$C$22/100*(BC43-25)</f>
        <v>118.01247376638537</v>
      </c>
      <c r="BD44" s="460">
        <f ca="1">Constants!$D$21+Constants!$D$21*Constants!$C$22/100*(BD43-25)</f>
        <v>117.96437183421433</v>
      </c>
      <c r="BE44" s="460">
        <f ca="1">Constants!$D$21+Constants!$D$21*Constants!$C$22/100*(BE43-25)</f>
        <v>117.92255578545257</v>
      </c>
      <c r="BF44" s="460">
        <f ca="1">Constants!$D$21+Constants!$D$21*Constants!$C$22/100*(BF43-25)</f>
        <v>117.88659550944743</v>
      </c>
      <c r="BG44" s="460">
        <f ca="1">Constants!$D$21+Constants!$D$21*Constants!$C$22/100*(BG43-25)</f>
        <v>117.85609755217379</v>
      </c>
      <c r="BH44" s="460">
        <f ca="1">Constants!$D$21+Constants!$D$21*Constants!$C$22/100*(BH43-25)</f>
        <v>117.83070138663031</v>
      </c>
      <c r="BI44" s="460">
        <f ca="1">Constants!$D$21+Constants!$D$21*Constants!$C$22/100*(BI43-25)</f>
        <v>117.81007612314323</v>
      </c>
      <c r="BJ44" s="460">
        <f ca="1">Constants!$D$21+Constants!$D$21*Constants!$C$22/100*(BJ43-25)</f>
        <v>117.79391760071138</v>
      </c>
      <c r="BK44" s="460">
        <f ca="1">Constants!$D$21+Constants!$D$21*Constants!$C$22/100*(BK43-25)</f>
        <v>117.78194580931596</v>
      </c>
      <c r="BL44" s="460">
        <f ca="1">Constants!$D$21+Constants!$D$21*Constants!$C$22/100*(BL43-25)</f>
        <v>117.77390260046255</v>
      </c>
      <c r="BM44" s="460">
        <f ca="1">Constants!$D$21+Constants!$D$21*Constants!$C$22/100*(BM43-25)</f>
        <v>117.76954964938125</v>
      </c>
      <c r="BN44" s="460">
        <f ca="1">Constants!$D$21+Constants!$D$21*Constants!$C$22/100*(BN43-25)</f>
        <v>116.80862449616512</v>
      </c>
      <c r="BO44" s="460">
        <f ca="1">Constants!$D$21+Constants!$D$21*Constants!$C$22/100*(BO43-25)</f>
        <v>116.85787014372468</v>
      </c>
      <c r="BP44" s="460">
        <f ca="1">Constants!$D$21+Constants!$D$21*Constants!$C$22/100*(BP43-25)</f>
        <v>116.90869454768907</v>
      </c>
      <c r="BQ44" s="460">
        <f ca="1">Constants!$D$21+Constants!$D$21*Constants!$C$22/100*(BQ43-25)</f>
        <v>116.96105511621732</v>
      </c>
      <c r="BR44" s="460">
        <f ca="1">Constants!$D$21+Constants!$D$21*Constants!$C$22/100*(BR43-25)</f>
        <v>117.01491181199248</v>
      </c>
      <c r="BS44" s="460">
        <f ca="1">Constants!$D$21+Constants!$D$21*Constants!$C$22/100*(BS43-25)</f>
        <v>117.07022695923357</v>
      </c>
      <c r="BT44" s="460">
        <f ca="1">Constants!$D$21+Constants!$D$21*Constants!$C$22/100*(BT43-25)</f>
        <v>117.12696506817261</v>
      </c>
      <c r="BU44" s="460">
        <f ca="1">Constants!$D$21+Constants!$D$21*Constants!$C$22/100*(BU43-25)</f>
        <v>117.18509267516805</v>
      </c>
      <c r="BV44" s="460">
        <f ca="1">Constants!$D$21+Constants!$D$21*Constants!$C$22/100*(BV43-25)</f>
        <v>117.24457819684274</v>
      </c>
      <c r="BW44" s="460">
        <f ca="1">Constants!$D$21+Constants!$D$21*Constants!$C$22/100*(BW43-25)</f>
        <v>117.30539179682162</v>
      </c>
      <c r="BX44" s="460">
        <f ca="1">Constants!$D$21+Constants!$D$21*Constants!$C$22/100*(BX43-25)</f>
        <v>117.36750526380798</v>
      </c>
      <c r="BY44" s="460">
        <f ca="1">Constants!$D$21+Constants!$D$21*Constants!$C$22/100*(BY43-25)</f>
        <v>117.43089189987973</v>
      </c>
      <c r="BZ44" s="460">
        <f ca="1">Constants!$D$21+Constants!$D$21*Constants!$C$22/100*(BZ43-25)</f>
        <v>117.49552641801198</v>
      </c>
      <c r="CA44" s="460">
        <f ca="1">Constants!$D$21+Constants!$D$21*Constants!$C$22/100*(CA43-25)</f>
        <v>117.5491330754526</v>
      </c>
      <c r="CB44" s="460">
        <f ca="1">Constants!$D$21+Constants!$D$21*Constants!$C$22/100*(CB43-25)</f>
        <v>117.59590282648671</v>
      </c>
      <c r="CC44" s="460">
        <f ca="1">Constants!$D$21+Constants!$D$21*Constants!$C$22/100*(CC43-25)</f>
        <v>117.64307530251733</v>
      </c>
      <c r="CD44" s="460">
        <f ca="1">Constants!$D$21+Constants!$D$21*Constants!$C$22/100*(CD43-25)</f>
        <v>117.69061888524357</v>
      </c>
      <c r="CE44" s="460">
        <f ca="1">Constants!$D$21+Constants!$D$21*Constants!$C$22/100*(CE43-25)</f>
        <v>117.73850295306029</v>
      </c>
      <c r="CF44" s="460">
        <f ca="1">Constants!$D$21+Constants!$D$21*Constants!$C$22/100*(CF43-25)</f>
        <v>117.78669782210196</v>
      </c>
      <c r="CG44" s="460">
        <f ca="1">Constants!$D$21+Constants!$D$21*Constants!$C$22/100*(CG43-25)</f>
        <v>117.83517469153168</v>
      </c>
      <c r="CH44" s="460">
        <f ca="1">Constants!$D$21+Constants!$D$21*Constants!$C$22/100*(CH43-25)</f>
        <v>117.88390559272446</v>
      </c>
      <c r="CI44" s="460">
        <f ca="1">Constants!$D$21+Constants!$D$21*Constants!$C$22/100*(CI43-25)</f>
        <v>117.93286334202655</v>
      </c>
      <c r="CJ44" s="460">
        <f ca="1">Constants!$D$21+Constants!$D$21*Constants!$C$22/100*(CJ43-25)</f>
        <v>117.98202149680264</v>
      </c>
      <c r="CK44" s="460">
        <f ca="1">Constants!$D$21+Constants!$D$21*Constants!$C$22/100*(CK43-25)</f>
        <v>118.03135431450933</v>
      </c>
      <c r="CL44" s="460">
        <f ca="1">Constants!$D$21+Constants!$D$21*Constants!$C$22/100*(CL43-25)</f>
        <v>118.08083671455707</v>
      </c>
      <c r="CM44" s="460">
        <f ca="1">Constants!$D$21+Constants!$D$21*Constants!$C$22/100*(CM43-25)</f>
        <v>118.1304442427442</v>
      </c>
      <c r="CN44" s="460">
        <f ca="1">Constants!$D$21+Constants!$D$21*Constants!$C$22/100*(CN43-25)</f>
        <v>118.18015303806651</v>
      </c>
      <c r="CO44" s="460">
        <f ca="1">Constants!$D$21+Constants!$D$21*Constants!$C$22/100*(CO43-25)</f>
        <v>118.22993980172218</v>
      </c>
      <c r="CP44" s="460">
        <f ca="1">Constants!$D$21+Constants!$D$21*Constants!$C$22/100*(CP43-25)</f>
        <v>118.27978176814894</v>
      </c>
      <c r="CQ44" s="460">
        <f ca="1">Constants!$D$21+Constants!$D$21*Constants!$C$22/100*(CQ43-25)</f>
        <v>118.32965667794332</v>
      </c>
      <c r="CR44" s="460">
        <f ca="1">Constants!$D$21+Constants!$D$21*Constants!$C$22/100*(CR43-25)</f>
        <v>118.37954275252544</v>
      </c>
      <c r="CS44" s="460">
        <f ca="1">Constants!$D$21+Constants!$D$21*Constants!$C$22/100*(CS43-25)</f>
        <v>118.42941867042418</v>
      </c>
      <c r="CT44" s="460">
        <f ca="1">Constants!$D$21+Constants!$D$21*Constants!$C$22/100*(CT43-25)</f>
        <v>118.47926354506795</v>
      </c>
      <c r="CU44" s="460">
        <f ca="1">Constants!$D$21+Constants!$D$21*Constants!$C$22/100*(CU43-25)</f>
        <v>118.52905690397624</v>
      </c>
      <c r="CV44" s="460">
        <f ca="1">Constants!$D$21+Constants!$D$21*Constants!$C$22/100*(CV43-25)</f>
        <v>118.57877866925548</v>
      </c>
      <c r="CW44" s="460">
        <f ca="1">Constants!$D$21+Constants!$D$21*Constants!$C$22/100*(CW43-25)</f>
        <v>118.6284091393109</v>
      </c>
      <c r="CX44" s="460">
        <f ca="1">Constants!$D$21+Constants!$D$21*Constants!$C$22/100*(CX43-25)</f>
        <v>118.67792897169302</v>
      </c>
      <c r="CY44" s="460">
        <f ca="1">Constants!$D$21+Constants!$D$21*Constants!$C$22/100*(CY43-25)</f>
        <v>118.72731916700455</v>
      </c>
      <c r="CZ44" s="460">
        <f ca="1">Constants!$D$21+Constants!$D$21*Constants!$C$22/100*(CZ43-25)</f>
        <v>118.77656105379873</v>
      </c>
      <c r="DA44" s="460">
        <f ca="1">Constants!$D$21+Constants!$D$21*Constants!$C$22/100*(DA43-25)</f>
        <v>118.82563627440642</v>
      </c>
      <c r="DB44" s="460">
        <f ca="1">Constants!$D$21+Constants!$D$21*Constants!$C$22/100*(DB43-25)</f>
        <v>118.8745267716337</v>
      </c>
      <c r="DC44" s="460">
        <f ca="1">Constants!$D$21+Constants!$D$21*Constants!$C$22/100*(DC43-25)</f>
        <v>118.92321477627679</v>
      </c>
      <c r="DD44" s="460">
        <f ca="1">Constants!$D$21+Constants!$D$21*Constants!$C$22/100*(DD43-25)</f>
        <v>118.97168279540526</v>
      </c>
      <c r="DE44" s="460">
        <f ca="1">Constants!$D$21+Constants!$D$21*Constants!$C$22/100*(DE43-25)</f>
        <v>119.01991360136809</v>
      </c>
      <c r="DF44" s="460">
        <f ca="1">Constants!$D$21+Constants!$D$21*Constants!$C$22/100*(DF43-25)</f>
        <v>119.06789022148143</v>
      </c>
      <c r="DG44" s="460">
        <f ca="1">Constants!$D$21+Constants!$D$21*Constants!$C$22/100*(DG43-25)</f>
        <v>119.11559592835962</v>
      </c>
      <c r="DH44" s="460">
        <f ca="1">Constants!$D$21+Constants!$D$21*Constants!$C$22/100*(DH43-25)</f>
        <v>119.1630142308545</v>
      </c>
      <c r="DI44" s="460">
        <f ca="1">Constants!$D$21+Constants!$D$21*Constants!$C$22/100*(DI43-25)</f>
        <v>119.21012886557068</v>
      </c>
      <c r="DJ44" s="460">
        <f ca="1">Constants!$D$21+Constants!$D$21*Constants!$C$22/100*(DJ43-25)</f>
        <v>119.25692378892745</v>
      </c>
      <c r="DK44" s="460">
        <f ca="1">Constants!$D$21+Constants!$D$21*Constants!$C$22/100*(DK43-25)</f>
        <v>119.30338316973999</v>
      </c>
      <c r="DL44" s="460">
        <f ca="1">Constants!$D$21+Constants!$D$21*Constants!$C$22/100*(DL43-25)</f>
        <v>119.3494913822955</v>
      </c>
      <c r="DM44" s="460">
        <f ca="1">Constants!$D$21+Constants!$D$21*Constants!$C$22/100*(DM43-25)</f>
        <v>119.39523299990131</v>
      </c>
      <c r="DN44" s="460">
        <f ca="1">Constants!$D$21+Constants!$D$21*Constants!$C$22/100*(DN43-25)</f>
        <v>119.4405927888849</v>
      </c>
      <c r="DO44" s="460">
        <f ca="1">Constants!$D$21+Constants!$D$21*Constants!$C$22/100*(DO43-25)</f>
        <v>119.48555570302692</v>
      </c>
      <c r="DP44" s="460">
        <f ca="1">Constants!$D$21+Constants!$D$21*Constants!$C$22/100*(DP43-25)</f>
        <v>119.53010687841078</v>
      </c>
      <c r="DQ44" s="460">
        <f ca="1">Constants!$D$21+Constants!$D$21*Constants!$C$22/100*(DQ43-25)</f>
        <v>119.57423162867357</v>
      </c>
      <c r="DR44" s="460">
        <f ca="1">Constants!$D$21+Constants!$D$21*Constants!$C$22/100*(DR43-25)</f>
        <v>119.61791544064528</v>
      </c>
      <c r="DS44" s="460">
        <f ca="1">Constants!$D$21+Constants!$D$21*Constants!$C$22/100*(DS43-25)</f>
        <v>119.66114397036425</v>
      </c>
      <c r="DT44" s="460">
        <f ca="1">Constants!$D$21+Constants!$D$21*Constants!$C$22/100*(DT43-25)</f>
        <v>119.70390303945916</v>
      </c>
      <c r="DU44" s="460">
        <f ca="1">Constants!$D$21+Constants!$D$21*Constants!$C$22/100*(DU43-25)</f>
        <v>119.74617863188841</v>
      </c>
      <c r="DV44" s="460">
        <f ca="1">Constants!$D$21+Constants!$D$21*Constants!$C$22/100*(DV43-25)</f>
        <v>119.78795689102998</v>
      </c>
      <c r="DW44" s="460">
        <f ca="1">Constants!$D$21+Constants!$D$21*Constants!$C$22/100*(DW43-25)</f>
        <v>119.82922411711581</v>
      </c>
      <c r="DX44" s="460">
        <f ca="1">Constants!$D$21+Constants!$D$21*Constants!$C$22/100*(DX43-25)</f>
        <v>119.86996676500664</v>
      </c>
      <c r="DY44" s="460">
        <f ca="1">Constants!$D$21+Constants!$D$21*Constants!$C$22/100*(DY43-25)</f>
        <v>119.91017144230388</v>
      </c>
      <c r="DZ44" s="460">
        <f ca="1">Constants!$D$21+Constants!$D$21*Constants!$C$22/100*(DZ43-25)</f>
        <v>119.94982490779745</v>
      </c>
      <c r="EA44" s="460">
        <f ca="1">Constants!$D$21+Constants!$D$21*Constants!$C$22/100*(EA43-25)</f>
        <v>119.98891407024922</v>
      </c>
      <c r="EB44" s="460">
        <f ca="1">Constants!$D$21+Constants!$D$21*Constants!$C$22/100*(EB43-25)</f>
        <v>120.02742598751335</v>
      </c>
      <c r="EC44" s="460">
        <f ca="1">Constants!$D$21+Constants!$D$21*Constants!$C$22/100*(EC43-25)</f>
        <v>120.06534786599661</v>
      </c>
      <c r="ED44" s="460">
        <f ca="1">Constants!$D$21+Constants!$D$21*Constants!$C$22/100*(ED43-25)</f>
        <v>120.10266706046262</v>
      </c>
      <c r="EE44" s="460">
        <f ca="1">Constants!$D$21+Constants!$D$21*Constants!$C$22/100*(EE43-25)</f>
        <v>120.13937107418626</v>
      </c>
      <c r="EF44" s="460">
        <f ca="1">Constants!$D$21+Constants!$D$21*Constants!$C$22/100*(EF43-25)</f>
        <v>120.17544755946567</v>
      </c>
      <c r="EG44" s="460">
        <f ca="1">Constants!$D$21+Constants!$D$21*Constants!$C$22/100*(EG43-25)</f>
        <v>120.21088431850104</v>
      </c>
      <c r="EH44" s="460">
        <f ca="1">Constants!$D$21+Constants!$D$21*Constants!$C$22/100*(EH43-25)</f>
        <v>120.24566930465137</v>
      </c>
      <c r="EI44" s="460">
        <f ca="1">Constants!$D$21+Constants!$D$21*Constants!$C$22/100*(EI43-25)</f>
        <v>120.27979062408215</v>
      </c>
      <c r="EJ44" s="460">
        <f ca="1">Constants!$D$21+Constants!$D$21*Constants!$C$22/100*(EJ43-25)</f>
        <v>120.31323653781905</v>
      </c>
      <c r="EK44" s="460">
        <f ca="1">Constants!$D$21+Constants!$D$21*Constants!$C$22/100*(EK43-25)</f>
        <v>120.34599546422474</v>
      </c>
      <c r="EL44" s="460">
        <f ca="1">Constants!$D$21+Constants!$D$21*Constants!$C$22/100*(EL43-25)</f>
        <v>120.37805598191862</v>
      </c>
      <c r="EM44" s="460">
        <f ca="1">Constants!$D$21+Constants!$D$21*Constants!$C$22/100*(EM43-25)</f>
        <v>120.40940683316126</v>
      </c>
      <c r="EN44" s="460">
        <f ca="1">Constants!$D$21+Constants!$D$21*Constants!$C$22/100*(EN43-25)</f>
        <v>120.44003692772876</v>
      </c>
      <c r="EO44" s="460">
        <f ca="1">Constants!$D$21+Constants!$D$21*Constants!$C$22/100*(EO43-25)</f>
        <v>120.4699353473045</v>
      </c>
      <c r="EP44" s="460">
        <f ca="1">Constants!$D$21+Constants!$D$21*Constants!$C$22/100*(EP43-25)</f>
        <v>120.49909135041958</v>
      </c>
      <c r="EQ44" s="460">
        <f ca="1">Constants!$D$21+Constants!$D$21*Constants!$C$22/100*(EQ43-25)</f>
        <v>120.52749437797628</v>
      </c>
      <c r="ER44" s="460">
        <f ca="1">Constants!$D$21+Constants!$D$21*Constants!$C$22/100*(ER43-25)</f>
        <v>120.5551340593933</v>
      </c>
      <c r="ES44" s="460">
        <f ca="1">Constants!$D$21+Constants!$D$21*Constants!$C$22/100*(ES43-25)</f>
        <v>120.58200021941502</v>
      </c>
      <c r="ET44" s="460">
        <f ca="1">Constants!$D$21+Constants!$D$21*Constants!$C$22/100*(ET43-25)</f>
        <v>120.60808288563257</v>
      </c>
      <c r="EU44" s="460">
        <f ca="1">Constants!$D$21+Constants!$D$21*Constants!$C$22/100*(EU43-25)</f>
        <v>120.63337229676877</v>
      </c>
      <c r="EV44" s="460">
        <f ca="1">Constants!$D$21+Constants!$D$21*Constants!$C$22/100*(EV43-25)</f>
        <v>120.65785891178525</v>
      </c>
      <c r="EW44" s="460">
        <f ca="1">Constants!$D$21+Constants!$D$21*Constants!$C$22/100*(EW43-25)</f>
        <v>120.6815334198762</v>
      </c>
      <c r="EX44" s="460">
        <f ca="1">Constants!$D$21+Constants!$D$21*Constants!$C$22/100*(EX43-25)</f>
        <v>120.70438675141986</v>
      </c>
      <c r="EY44" s="460">
        <f ca="1">Constants!$D$21+Constants!$D$21*Constants!$C$22/100*(EY43-25)</f>
        <v>120.72641008996692</v>
      </c>
      <c r="EZ44" s="460">
        <f ca="1">Constants!$D$21+Constants!$D$21*Constants!$C$22/100*(EZ43-25)</f>
        <v>120.74759488535348</v>
      </c>
      <c r="FA44" s="460">
        <f ca="1">Constants!$D$21+Constants!$D$21*Constants!$C$22/100*(FA43-25)</f>
        <v>120.76793286803547</v>
      </c>
      <c r="FB44" s="460">
        <f ca="1">Constants!$D$21+Constants!$D$21*Constants!$C$22/100*(FB43-25)</f>
        <v>120.78741606475259</v>
      </c>
      <c r="FC44" s="460">
        <f ca="1">Constants!$D$21+Constants!$D$21*Constants!$C$22/100*(FC43-25)</f>
        <v>120.80603681564106</v>
      </c>
      <c r="FD44" s="460">
        <f ca="1">Constants!$D$21+Constants!$D$21*Constants!$C$22/100*(FD43-25)</f>
        <v>120.82378779292851</v>
      </c>
      <c r="FE44" s="460">
        <f ca="1">Constants!$D$21+Constants!$D$21*Constants!$C$22/100*(FE43-25)</f>
        <v>120.84066202135845</v>
      </c>
      <c r="FF44" s="455"/>
    </row>
    <row r="45" spans="1:162" ht="18" customHeight="1" thickBot="1" x14ac:dyDescent="0.3">
      <c r="A45" s="330" t="s">
        <v>254</v>
      </c>
      <c r="B45" s="331"/>
      <c r="C45" s="331"/>
      <c r="D45" s="331"/>
      <c r="E45" s="331"/>
      <c r="F45" s="331"/>
      <c r="G45" s="331"/>
      <c r="H45" s="331"/>
      <c r="I45" s="332"/>
      <c r="J45" s="442"/>
      <c r="M45" s="308"/>
      <c r="N45" s="309"/>
      <c r="R45" s="439"/>
      <c r="S45" s="439"/>
      <c r="T45" s="455" t="s">
        <v>346</v>
      </c>
      <c r="U45" s="460">
        <f ca="1">Rds_boost_max+Constants!$C$22*Rds_boost_max/100*(U43-25)</f>
        <v>27.443128569659095</v>
      </c>
      <c r="V45" s="460">
        <f ca="1">Rds_boost_max+Constants!$C$22*Rds_boost_max/100*(V43-25)</f>
        <v>26.955218187779117</v>
      </c>
      <c r="W45" s="460">
        <f ca="1">Rds_boost_max+Constants!$C$22*Rds_boost_max/100*(W43-25)</f>
        <v>26.544676011815845</v>
      </c>
      <c r="X45" s="460">
        <f ca="1">Rds_boost_max+Constants!$C$22*Rds_boost_max/100*(X43-25)</f>
        <v>26.195419966686423</v>
      </c>
      <c r="Y45" s="460">
        <f ca="1">Rds_boost_max+Constants!$C$22*Rds_boost_max/100*(Y43-25)</f>
        <v>25.895533017192573</v>
      </c>
      <c r="Z45" s="460">
        <f ca="1">Rds_boost_max+Constants!$C$22*Rds_boost_max/100*(Z43-25)</f>
        <v>25.635987595800991</v>
      </c>
      <c r="AA45" s="460">
        <f ca="1">Rds_boost_max+Constants!$C$22*Rds_boost_max/100*(AA43-25)</f>
        <v>25.409815678181374</v>
      </c>
      <c r="AB45" s="460">
        <f ca="1">Rds_boost_max+Constants!$C$22*Rds_boost_max/100*(AB43-25)</f>
        <v>25.211551416870204</v>
      </c>
      <c r="AC45" s="460">
        <f ca="1">Rds_boost_max+Constants!$C$22*Rds_boost_max/100*(AC43-25)</f>
        <v>25.036846569755216</v>
      </c>
      <c r="AD45" s="460">
        <f ca="1">Rds_boost_max+Constants!$C$22*Rds_boost_max/100*(AD43-25)</f>
        <v>24.882198890993642</v>
      </c>
      <c r="AE45" s="460">
        <f ca="1">Rds_boost_max+Constants!$C$22*Rds_boost_max/100*(AE43-25)</f>
        <v>24.744756357183764</v>
      </c>
      <c r="AF45" s="460">
        <f ca="1">Rds_boost_max+Constants!$C$22*Rds_boost_max/100*(AF43-25)</f>
        <v>24.62217350020973</v>
      </c>
      <c r="AG45" s="460">
        <f ca="1">Rds_boost_max+Constants!$C$22*Rds_boost_max/100*(AG43-25)</f>
        <v>24.512504284008713</v>
      </c>
      <c r="AH45" s="460">
        <f ca="1">Rds_boost_max+Constants!$C$22*Rds_boost_max/100*(AH43-25)</f>
        <v>24.414121082111677</v>
      </c>
      <c r="AI45" s="460">
        <f ca="1">Rds_boost_max+Constants!$C$22*Rds_boost_max/100*(AI43-25)</f>
        <v>24.325652604040545</v>
      </c>
      <c r="AJ45" s="460">
        <f ca="1">Rds_boost_max+Constants!$C$22*Rds_boost_max/100*(AJ43-25)</f>
        <v>24.245935782322437</v>
      </c>
      <c r="AK45" s="460">
        <f ca="1">Rds_boost_max+Constants!$C$22*Rds_boost_max/100*(AK43-25)</f>
        <v>24.173978083153994</v>
      </c>
      <c r="AL45" s="460">
        <f ca="1">Rds_boost_max+Constants!$C$22*Rds_boost_max/100*(AL43-25)</f>
        <v>24.108927695002194</v>
      </c>
      <c r="AM45" s="460">
        <f ca="1">Rds_boost_max+Constants!$C$22*Rds_boost_max/100*(AM43-25)</f>
        <v>24.050049737726241</v>
      </c>
      <c r="AN45" s="460">
        <f ca="1">Rds_boost_max+Constants!$C$22*Rds_boost_max/100*(AN43-25)</f>
        <v>23.996707119979863</v>
      </c>
      <c r="AO45" s="460">
        <f ca="1">Rds_boost_max+Constants!$C$22*Rds_boost_max/100*(AO43-25)</f>
        <v>23.948345019393678</v>
      </c>
      <c r="AP45" s="460">
        <f ca="1">Rds_boost_max+Constants!$C$22*Rds_boost_max/100*(AP43-25)</f>
        <v>23.904478211003671</v>
      </c>
      <c r="AQ45" s="460">
        <f ca="1">Rds_boost_max+Constants!$C$22*Rds_boost_max/100*(AQ43-25)</f>
        <v>23.864680653177178</v>
      </c>
      <c r="AR45" s="460">
        <f ca="1">Rds_boost_max+Constants!$C$22*Rds_boost_max/100*(AR43-25)</f>
        <v>23.828576876342666</v>
      </c>
      <c r="AS45" s="460">
        <f ca="1">Rds_boost_max+Constants!$C$22*Rds_boost_max/100*(AS43-25)</f>
        <v>23.795834821570221</v>
      </c>
      <c r="AT45" s="460">
        <f ca="1">Rds_boost_max+Constants!$C$22*Rds_boost_max/100*(AT43-25)</f>
        <v>23.766159852847345</v>
      </c>
      <c r="AU45" s="460">
        <f ca="1">Rds_boost_max+Constants!$C$22*Rds_boost_max/100*(AU43-25)</f>
        <v>23.739289725375581</v>
      </c>
      <c r="AV45" s="460">
        <f ca="1">Rds_boost_max+Constants!$C$22*Rds_boost_max/100*(AV43-25)</f>
        <v>23.71499033711304</v>
      </c>
      <c r="AW45" s="460">
        <f ca="1">Rds_boost_max+Constants!$C$22*Rds_boost_max/100*(AW43-25)</f>
        <v>23.693052125526879</v>
      </c>
      <c r="AX45" s="460">
        <f ca="1">Rds_boost_max+Constants!$C$22*Rds_boost_max/100*(AX43-25)</f>
        <v>23.67328699859323</v>
      </c>
      <c r="AY45" s="460">
        <f ca="1">Rds_boost_max+Constants!$C$22*Rds_boost_max/100*(AY43-25)</f>
        <v>23.65557605306492</v>
      </c>
      <c r="AZ45" s="460">
        <f ca="1">Rds_boost_max+Constants!$C$22*Rds_boost_max/100*(AZ43-25)</f>
        <v>23.639887814977577</v>
      </c>
      <c r="BA45" s="460">
        <f ca="1">Rds_boost_max+Constants!$C$22*Rds_boost_max/100*(BA43-25)</f>
        <v>23.625893006360176</v>
      </c>
      <c r="BB45" s="460">
        <f ca="1">Rds_boost_max+Constants!$C$22*Rds_boost_max/100*(BB43-25)</f>
        <v>23.613466517636294</v>
      </c>
      <c r="BC45" s="460">
        <f ca="1">Rds_boost_max+Constants!$C$22*Rds_boost_max/100*(BC43-25)</f>
        <v>23.602494753277075</v>
      </c>
      <c r="BD45" s="460">
        <f ca="1">Rds_boost_max+Constants!$C$22*Rds_boost_max/100*(BD43-25)</f>
        <v>23.592874366842867</v>
      </c>
      <c r="BE45" s="460">
        <f ca="1">Rds_boost_max+Constants!$C$22*Rds_boost_max/100*(BE43-25)</f>
        <v>23.584511157090517</v>
      </c>
      <c r="BF45" s="460">
        <f ca="1">Rds_boost_max+Constants!$C$22*Rds_boost_max/100*(BF43-25)</f>
        <v>23.577319101889486</v>
      </c>
      <c r="BG45" s="460">
        <f ca="1">Rds_boost_max+Constants!$C$22*Rds_boost_max/100*(BG43-25)</f>
        <v>23.571219510434759</v>
      </c>
      <c r="BH45" s="460">
        <f ca="1">Rds_boost_max+Constants!$C$22*Rds_boost_max/100*(BH43-25)</f>
        <v>23.566140277326063</v>
      </c>
      <c r="BI45" s="460">
        <f ca="1">Rds_boost_max+Constants!$C$22*Rds_boost_max/100*(BI43-25)</f>
        <v>23.562015224628649</v>
      </c>
      <c r="BJ45" s="460">
        <f ca="1">Rds_boost_max+Constants!$C$22*Rds_boost_max/100*(BJ43-25)</f>
        <v>23.558783520142278</v>
      </c>
      <c r="BK45" s="460">
        <f ca="1">Rds_boost_max+Constants!$C$22*Rds_boost_max/100*(BK43-25)</f>
        <v>23.556389161863194</v>
      </c>
      <c r="BL45" s="460">
        <f ca="1">Rds_boost_max+Constants!$C$22*Rds_boost_max/100*(BL43-25)</f>
        <v>23.55478052009251</v>
      </c>
      <c r="BM45" s="460">
        <f ca="1">Rds_boost_max+Constants!$C$22*Rds_boost_max/100*(BM43-25)</f>
        <v>23.553909929876248</v>
      </c>
      <c r="BN45" s="460">
        <f ca="1">Rds_boost_max+Constants!$C$22*Rds_boost_max/100*(BN43-25)</f>
        <v>23.361724899233025</v>
      </c>
      <c r="BO45" s="460">
        <f ca="1">Rds_boost_max+Constants!$C$22*Rds_boost_max/100*(BO43-25)</f>
        <v>23.371574028744938</v>
      </c>
      <c r="BP45" s="460">
        <f ca="1">Rds_boost_max+Constants!$C$22*Rds_boost_max/100*(BP43-25)</f>
        <v>23.381738909537813</v>
      </c>
      <c r="BQ45" s="460">
        <f ca="1">Rds_boost_max+Constants!$C$22*Rds_boost_max/100*(BQ43-25)</f>
        <v>23.392211023243465</v>
      </c>
      <c r="BR45" s="460">
        <f ca="1">Rds_boost_max+Constants!$C$22*Rds_boost_max/100*(BR43-25)</f>
        <v>23.402982362398497</v>
      </c>
      <c r="BS45" s="460">
        <f ca="1">Rds_boost_max+Constants!$C$22*Rds_boost_max/100*(BS43-25)</f>
        <v>23.414045391846713</v>
      </c>
      <c r="BT45" s="460">
        <f ca="1">Rds_boost_max+Constants!$C$22*Rds_boost_max/100*(BT43-25)</f>
        <v>23.425393013634523</v>
      </c>
      <c r="BU45" s="460">
        <f ca="1">Rds_boost_max+Constants!$C$22*Rds_boost_max/100*(BU43-25)</f>
        <v>23.437018535033609</v>
      </c>
      <c r="BV45" s="460">
        <f ca="1">Rds_boost_max+Constants!$C$22*Rds_boost_max/100*(BV43-25)</f>
        <v>23.448915639368551</v>
      </c>
      <c r="BW45" s="460">
        <f ca="1">Rds_boost_max+Constants!$C$22*Rds_boost_max/100*(BW43-25)</f>
        <v>23.461078359364326</v>
      </c>
      <c r="BX45" s="460">
        <f ca="1">Rds_boost_max+Constants!$C$22*Rds_boost_max/100*(BX43-25)</f>
        <v>23.473501052761598</v>
      </c>
      <c r="BY45" s="460">
        <f ca="1">Rds_boost_max+Constants!$C$22*Rds_boost_max/100*(BY43-25)</f>
        <v>23.486178379975946</v>
      </c>
      <c r="BZ45" s="460">
        <f ca="1">Rds_boost_max+Constants!$C$22*Rds_boost_max/100*(BZ43-25)</f>
        <v>23.499105283602397</v>
      </c>
      <c r="CA45" s="460">
        <f ca="1">Rds_boost_max+Constants!$C$22*Rds_boost_max/100*(CA43-25)</f>
        <v>23.509826615090521</v>
      </c>
      <c r="CB45" s="460">
        <f ca="1">Rds_boost_max+Constants!$C$22*Rds_boost_max/100*(CB43-25)</f>
        <v>23.519180565297344</v>
      </c>
      <c r="CC45" s="460">
        <f ca="1">Rds_boost_max+Constants!$C$22*Rds_boost_max/100*(CC43-25)</f>
        <v>23.528615060503466</v>
      </c>
      <c r="CD45" s="460">
        <f ca="1">Rds_boost_max+Constants!$C$22*Rds_boost_max/100*(CD43-25)</f>
        <v>23.538123777048714</v>
      </c>
      <c r="CE45" s="460">
        <f ca="1">Rds_boost_max+Constants!$C$22*Rds_boost_max/100*(CE43-25)</f>
        <v>23.547700590612056</v>
      </c>
      <c r="CF45" s="460">
        <f ca="1">Rds_boost_max+Constants!$C$22*Rds_boost_max/100*(CF43-25)</f>
        <v>23.557339564420392</v>
      </c>
      <c r="CG45" s="460">
        <f ca="1">Rds_boost_max+Constants!$C$22*Rds_boost_max/100*(CG43-25)</f>
        <v>23.567034938306335</v>
      </c>
      <c r="CH45" s="460">
        <f ca="1">Rds_boost_max+Constants!$C$22*Rds_boost_max/100*(CH43-25)</f>
        <v>23.576781118544893</v>
      </c>
      <c r="CI45" s="460">
        <f ca="1">Rds_boost_max+Constants!$C$22*Rds_boost_max/100*(CI43-25)</f>
        <v>23.58657266840531</v>
      </c>
      <c r="CJ45" s="460">
        <f ca="1">Rds_boost_max+Constants!$C$22*Rds_boost_max/100*(CJ43-25)</f>
        <v>23.596404299360529</v>
      </c>
      <c r="CK45" s="460">
        <f ca="1">Rds_boost_max+Constants!$C$22*Rds_boost_max/100*(CK43-25)</f>
        <v>23.606270862901866</v>
      </c>
      <c r="CL45" s="460">
        <f ca="1">Rds_boost_max+Constants!$C$22*Rds_boost_max/100*(CL43-25)</f>
        <v>23.616167342911414</v>
      </c>
      <c r="CM45" s="460">
        <f ca="1">Rds_boost_max+Constants!$C$22*Rds_boost_max/100*(CM43-25)</f>
        <v>23.626088848548843</v>
      </c>
      <c r="CN45" s="460">
        <f ca="1">Rds_boost_max+Constants!$C$22*Rds_boost_max/100*(CN43-25)</f>
        <v>23.636030607613304</v>
      </c>
      <c r="CO45" s="460">
        <f ca="1">Rds_boost_max+Constants!$C$22*Rds_boost_max/100*(CO43-25)</f>
        <v>23.645987960344435</v>
      </c>
      <c r="CP45" s="460">
        <f ca="1">Rds_boost_max+Constants!$C$22*Rds_boost_max/100*(CP43-25)</f>
        <v>23.655956353629787</v>
      </c>
      <c r="CQ45" s="460">
        <f ca="1">Rds_boost_max+Constants!$C$22*Rds_boost_max/100*(CQ43-25)</f>
        <v>23.665931335588663</v>
      </c>
      <c r="CR45" s="460">
        <f ca="1">Rds_boost_max+Constants!$C$22*Rds_boost_max/100*(CR43-25)</f>
        <v>23.675908550505088</v>
      </c>
      <c r="CS45" s="460">
        <f ca="1">Rds_boost_max+Constants!$C$22*Rds_boost_max/100*(CS43-25)</f>
        <v>23.685883734084836</v>
      </c>
      <c r="CT45" s="460">
        <f ca="1">Rds_boost_max+Constants!$C$22*Rds_boost_max/100*(CT43-25)</f>
        <v>23.69585270901359</v>
      </c>
      <c r="CU45" s="460">
        <f ca="1">Rds_boost_max+Constants!$C$22*Rds_boost_max/100*(CU43-25)</f>
        <v>23.705811380795247</v>
      </c>
      <c r="CV45" s="460">
        <f ca="1">Rds_boost_max+Constants!$C$22*Rds_boost_max/100*(CV43-25)</f>
        <v>23.715755733851097</v>
      </c>
      <c r="CW45" s="460">
        <f ca="1">Rds_boost_max+Constants!$C$22*Rds_boost_max/100*(CW43-25)</f>
        <v>23.725681827862182</v>
      </c>
      <c r="CX45" s="460">
        <f ca="1">Rds_boost_max+Constants!$C$22*Rds_boost_max/100*(CX43-25)</f>
        <v>23.735585794338604</v>
      </c>
      <c r="CY45" s="460">
        <f ca="1">Rds_boost_max+Constants!$C$22*Rds_boost_max/100*(CY43-25)</f>
        <v>23.745463833400912</v>
      </c>
      <c r="CZ45" s="460">
        <f ca="1">Rds_boost_max+Constants!$C$22*Rds_boost_max/100*(CZ43-25)</f>
        <v>23.755312210759747</v>
      </c>
      <c r="DA45" s="460">
        <f ca="1">Rds_boost_max+Constants!$C$22*Rds_boost_max/100*(DA43-25)</f>
        <v>23.765127254881286</v>
      </c>
      <c r="DB45" s="460">
        <f ca="1">Rds_boost_max+Constants!$C$22*Rds_boost_max/100*(DB43-25)</f>
        <v>23.774905354326737</v>
      </c>
      <c r="DC45" s="460">
        <f ca="1">Rds_boost_max+Constants!$C$22*Rds_boost_max/100*(DC43-25)</f>
        <v>23.784642955255357</v>
      </c>
      <c r="DD45" s="460">
        <f ca="1">Rds_boost_max+Constants!$C$22*Rds_boost_max/100*(DD43-25)</f>
        <v>23.794336559081053</v>
      </c>
      <c r="DE45" s="460">
        <f ca="1">Rds_boost_max+Constants!$C$22*Rds_boost_max/100*(DE43-25)</f>
        <v>23.80398272027362</v>
      </c>
      <c r="DF45" s="460">
        <f ca="1">Rds_boost_max+Constants!$C$22*Rds_boost_max/100*(DF43-25)</f>
        <v>23.813578044296285</v>
      </c>
      <c r="DG45" s="460">
        <f ca="1">Rds_boost_max+Constants!$C$22*Rds_boost_max/100*(DG43-25)</f>
        <v>23.823119185671928</v>
      </c>
      <c r="DH45" s="460">
        <f ca="1">Rds_boost_max+Constants!$C$22*Rds_boost_max/100*(DH43-25)</f>
        <v>23.8326028461709</v>
      </c>
      <c r="DI45" s="460">
        <f ca="1">Rds_boost_max+Constants!$C$22*Rds_boost_max/100*(DI43-25)</f>
        <v>23.842025773114138</v>
      </c>
      <c r="DJ45" s="460">
        <f ca="1">Rds_boost_max+Constants!$C$22*Rds_boost_max/100*(DJ43-25)</f>
        <v>23.851384757785489</v>
      </c>
      <c r="DK45" s="460">
        <f ca="1">Rds_boost_max+Constants!$C$22*Rds_boost_max/100*(DK43-25)</f>
        <v>23.860676633948</v>
      </c>
      <c r="DL45" s="460">
        <f ca="1">Rds_boost_max+Constants!$C$22*Rds_boost_max/100*(DL43-25)</f>
        <v>23.8698982764591</v>
      </c>
      <c r="DM45" s="460">
        <f ca="1">Rds_boost_max+Constants!$C$22*Rds_boost_max/100*(DM43-25)</f>
        <v>23.879046599980263</v>
      </c>
      <c r="DN45" s="460">
        <f ca="1">Rds_boost_max+Constants!$C$22*Rds_boost_max/100*(DN43-25)</f>
        <v>23.888118557776981</v>
      </c>
      <c r="DO45" s="460">
        <f ca="1">Rds_boost_max+Constants!$C$22*Rds_boost_max/100*(DO43-25)</f>
        <v>23.897111140605386</v>
      </c>
      <c r="DP45" s="460">
        <f ca="1">Rds_boost_max+Constants!$C$22*Rds_boost_max/100*(DP43-25)</f>
        <v>23.906021375682158</v>
      </c>
      <c r="DQ45" s="460">
        <f ca="1">Rds_boost_max+Constants!$C$22*Rds_boost_max/100*(DQ43-25)</f>
        <v>23.914846325734715</v>
      </c>
      <c r="DR45" s="460">
        <f ca="1">Rds_boost_max+Constants!$C$22*Rds_boost_max/100*(DR43-25)</f>
        <v>23.923583088129057</v>
      </c>
      <c r="DS45" s="460">
        <f ca="1">Rds_boost_max+Constants!$C$22*Rds_boost_max/100*(DS43-25)</f>
        <v>23.932228794072849</v>
      </c>
      <c r="DT45" s="460">
        <f ca="1">Rds_boost_max+Constants!$C$22*Rds_boost_max/100*(DT43-25)</f>
        <v>23.940780607891831</v>
      </c>
      <c r="DU45" s="460">
        <f ca="1">Rds_boost_max+Constants!$C$22*Rds_boost_max/100*(DU43-25)</f>
        <v>23.949235726377683</v>
      </c>
      <c r="DV45" s="460">
        <f ca="1">Rds_boost_max+Constants!$C$22*Rds_boost_max/100*(DV43-25)</f>
        <v>23.957591378205997</v>
      </c>
      <c r="DW45" s="460">
        <f ca="1">Rds_boost_max+Constants!$C$22*Rds_boost_max/100*(DW43-25)</f>
        <v>23.965844823423161</v>
      </c>
      <c r="DX45" s="460">
        <f ca="1">Rds_boost_max+Constants!$C$22*Rds_boost_max/100*(DX43-25)</f>
        <v>23.973993353001326</v>
      </c>
      <c r="DY45" s="460">
        <f ca="1">Rds_boost_max+Constants!$C$22*Rds_boost_max/100*(DY43-25)</f>
        <v>23.982034288460774</v>
      </c>
      <c r="DZ45" s="460">
        <f ca="1">Rds_boost_max+Constants!$C$22*Rds_boost_max/100*(DZ43-25)</f>
        <v>23.989964981559488</v>
      </c>
      <c r="EA45" s="460">
        <f ca="1">Rds_boost_max+Constants!$C$22*Rds_boost_max/100*(EA43-25)</f>
        <v>23.997782814049842</v>
      </c>
      <c r="EB45" s="460">
        <f ca="1">Rds_boost_max+Constants!$C$22*Rds_boost_max/100*(EB43-25)</f>
        <v>24.005485197502672</v>
      </c>
      <c r="EC45" s="460">
        <f ca="1">Rds_boost_max+Constants!$C$22*Rds_boost_max/100*(EC43-25)</f>
        <v>24.013069573199324</v>
      </c>
      <c r="ED45" s="460">
        <f ca="1">Rds_boost_max+Constants!$C$22*Rds_boost_max/100*(ED43-25)</f>
        <v>24.020533412092526</v>
      </c>
      <c r="EE45" s="460">
        <f ca="1">Rds_boost_max+Constants!$C$22*Rds_boost_max/100*(EE43-25)</f>
        <v>24.027874214837251</v>
      </c>
      <c r="EF45" s="460">
        <f ca="1">Rds_boost_max+Constants!$C$22*Rds_boost_max/100*(EF43-25)</f>
        <v>24.035089511893133</v>
      </c>
      <c r="EG45" s="460">
        <f ca="1">Rds_boost_max+Constants!$C$22*Rds_boost_max/100*(EG43-25)</f>
        <v>24.042176863700206</v>
      </c>
      <c r="EH45" s="460">
        <f ca="1">Rds_boost_max+Constants!$C$22*Rds_boost_max/100*(EH43-25)</f>
        <v>24.049133860930276</v>
      </c>
      <c r="EI45" s="460">
        <f ca="1">Rds_boost_max+Constants!$C$22*Rds_boost_max/100*(EI43-25)</f>
        <v>24.055958124816431</v>
      </c>
      <c r="EJ45" s="460">
        <f ca="1">Rds_boost_max+Constants!$C$22*Rds_boost_max/100*(EJ43-25)</f>
        <v>24.062647307563811</v>
      </c>
      <c r="EK45" s="460">
        <f ca="1">Rds_boost_max+Constants!$C$22*Rds_boost_max/100*(EK43-25)</f>
        <v>24.069199092844951</v>
      </c>
      <c r="EL45" s="460">
        <f ca="1">Rds_boost_max+Constants!$C$22*Rds_boost_max/100*(EL43-25)</f>
        <v>24.075611196383726</v>
      </c>
      <c r="EM45" s="460">
        <f ca="1">Rds_boost_max+Constants!$C$22*Rds_boost_max/100*(EM43-25)</f>
        <v>24.081881366632253</v>
      </c>
      <c r="EN45" s="460">
        <f ca="1">Rds_boost_max+Constants!$C$22*Rds_boost_max/100*(EN43-25)</f>
        <v>24.088007385545751</v>
      </c>
      <c r="EO45" s="460">
        <f ca="1">Rds_boost_max+Constants!$C$22*Rds_boost_max/100*(EO43-25)</f>
        <v>24.093987069460901</v>
      </c>
      <c r="EP45" s="460">
        <f ca="1">Rds_boost_max+Constants!$C$22*Rds_boost_max/100*(EP43-25)</f>
        <v>24.099818270083915</v>
      </c>
      <c r="EQ45" s="460">
        <f ca="1">Rds_boost_max+Constants!$C$22*Rds_boost_max/100*(EQ43-25)</f>
        <v>24.105498875595256</v>
      </c>
      <c r="ER45" s="460">
        <f ca="1">Rds_boost_max+Constants!$C$22*Rds_boost_max/100*(ER43-25)</f>
        <v>24.111026811878659</v>
      </c>
      <c r="ES45" s="460">
        <f ca="1">Rds_boost_max+Constants!$C$22*Rds_boost_max/100*(ES43-25)</f>
        <v>24.116400043883004</v>
      </c>
      <c r="ET45" s="460">
        <f ca="1">Rds_boost_max+Constants!$C$22*Rds_boost_max/100*(ET43-25)</f>
        <v>24.121616577126513</v>
      </c>
      <c r="EU45" s="460">
        <f ca="1">Rds_boost_max+Constants!$C$22*Rds_boost_max/100*(EU43-25)</f>
        <v>24.126674459353755</v>
      </c>
      <c r="EV45" s="460">
        <f ca="1">Rds_boost_max+Constants!$C$22*Rds_boost_max/100*(EV43-25)</f>
        <v>24.131571782357049</v>
      </c>
      <c r="EW45" s="460">
        <f ca="1">Rds_boost_max+Constants!$C$22*Rds_boost_max/100*(EW43-25)</f>
        <v>24.136306683975242</v>
      </c>
      <c r="EX45" s="460">
        <f ca="1">Rds_boost_max+Constants!$C$22*Rds_boost_max/100*(EX43-25)</f>
        <v>24.140877350283972</v>
      </c>
      <c r="EY45" s="460">
        <f ca="1">Rds_boost_max+Constants!$C$22*Rds_boost_max/100*(EY43-25)</f>
        <v>24.145282017993384</v>
      </c>
      <c r="EZ45" s="460">
        <f ca="1">Rds_boost_max+Constants!$C$22*Rds_boost_max/100*(EZ43-25)</f>
        <v>24.149518977070695</v>
      </c>
      <c r="FA45" s="460">
        <f ca="1">Rds_boost_max+Constants!$C$22*Rds_boost_max/100*(FA43-25)</f>
        <v>24.153586573607097</v>
      </c>
      <c r="FB45" s="460">
        <f ca="1">Rds_boost_max+Constants!$C$22*Rds_boost_max/100*(FB43-25)</f>
        <v>24.15748321295052</v>
      </c>
      <c r="FC45" s="460">
        <f ca="1">Rds_boost_max+Constants!$C$22*Rds_boost_max/100*(FC43-25)</f>
        <v>24.161207363128213</v>
      </c>
      <c r="FD45" s="460">
        <f ca="1">Rds_boost_max+Constants!$C$22*Rds_boost_max/100*(FD43-25)</f>
        <v>24.164757558585702</v>
      </c>
      <c r="FE45" s="460">
        <f ca="1">Rds_boost_max+Constants!$C$22*Rds_boost_max/100*(FE43-25)</f>
        <v>24.168132404271692</v>
      </c>
      <c r="FF45" s="455"/>
    </row>
    <row r="46" spans="1:162" ht="18" customHeight="1" thickBot="1" x14ac:dyDescent="0.3">
      <c r="A46" s="159" t="s">
        <v>39</v>
      </c>
      <c r="B46" s="215">
        <v>0.4</v>
      </c>
      <c r="C46" s="201"/>
      <c r="D46" s="201" t="s">
        <v>16</v>
      </c>
      <c r="E46" s="74" t="s">
        <v>163</v>
      </c>
      <c r="F46" s="93"/>
      <c r="G46" s="94"/>
      <c r="H46" s="93"/>
      <c r="I46" s="39"/>
      <c r="J46" s="442"/>
      <c r="L46" s="308"/>
      <c r="R46" s="439"/>
      <c r="S46" s="439"/>
      <c r="T46" s="455"/>
      <c r="U46" s="455"/>
      <c r="V46" s="455"/>
      <c r="W46" s="455"/>
      <c r="X46" s="455"/>
      <c r="Y46" s="455"/>
      <c r="Z46" s="455"/>
      <c r="AA46" s="455"/>
      <c r="AB46" s="455"/>
      <c r="AC46" s="455"/>
      <c r="AD46" s="455"/>
      <c r="AE46" s="455"/>
      <c r="AF46" s="455"/>
      <c r="AG46" s="455"/>
      <c r="AH46" s="455"/>
      <c r="AI46" s="455"/>
      <c r="AJ46" s="455"/>
      <c r="AK46" s="455"/>
      <c r="AL46" s="455"/>
      <c r="AM46" s="455"/>
      <c r="AN46" s="455"/>
      <c r="AO46" s="455"/>
      <c r="AP46" s="455"/>
      <c r="AQ46" s="455"/>
      <c r="AR46" s="455"/>
      <c r="AS46" s="455"/>
      <c r="AT46" s="455"/>
      <c r="AU46" s="455"/>
      <c r="AV46" s="455"/>
      <c r="AW46" s="455"/>
      <c r="AX46" s="455"/>
      <c r="AY46" s="455"/>
      <c r="AZ46" s="455"/>
      <c r="BA46" s="455"/>
      <c r="BB46" s="455"/>
      <c r="BC46" s="455"/>
      <c r="BD46" s="455"/>
      <c r="BE46" s="455"/>
      <c r="BF46" s="455"/>
      <c r="BG46" s="455"/>
      <c r="BH46" s="455"/>
      <c r="BI46" s="455"/>
      <c r="BJ46" s="455"/>
      <c r="BK46" s="455"/>
      <c r="BL46" s="455"/>
      <c r="BM46" s="455"/>
      <c r="BN46" s="455"/>
      <c r="BO46" s="455"/>
      <c r="BP46" s="455"/>
      <c r="BQ46" s="455"/>
      <c r="BR46" s="455"/>
      <c r="BS46" s="455"/>
      <c r="BT46" s="455"/>
      <c r="BU46" s="455"/>
      <c r="BV46" s="455"/>
      <c r="BW46" s="455"/>
      <c r="BX46" s="455"/>
      <c r="BY46" s="455"/>
      <c r="BZ46" s="455"/>
      <c r="CA46" s="455"/>
      <c r="CB46" s="455"/>
      <c r="CC46" s="455"/>
      <c r="CD46" s="455"/>
      <c r="CE46" s="455"/>
      <c r="CF46" s="455"/>
      <c r="CG46" s="455"/>
      <c r="CH46" s="455"/>
      <c r="CI46" s="455"/>
      <c r="CJ46" s="455"/>
      <c r="CK46" s="455"/>
      <c r="CL46" s="455"/>
      <c r="CM46" s="455"/>
      <c r="CN46" s="455"/>
      <c r="CO46" s="455"/>
      <c r="CP46" s="455"/>
      <c r="CQ46" s="455"/>
      <c r="CR46" s="455"/>
      <c r="CS46" s="455"/>
      <c r="CT46" s="455"/>
      <c r="CU46" s="455"/>
      <c r="CV46" s="455"/>
      <c r="CW46" s="455"/>
      <c r="CX46" s="455"/>
      <c r="CY46" s="455"/>
      <c r="CZ46" s="455"/>
      <c r="DA46" s="455"/>
      <c r="DB46" s="455"/>
      <c r="DC46" s="455"/>
      <c r="DD46" s="455"/>
      <c r="DE46" s="455"/>
      <c r="DF46" s="455"/>
      <c r="DG46" s="455"/>
      <c r="DH46" s="455"/>
      <c r="DI46" s="455"/>
      <c r="DJ46" s="455"/>
      <c r="DK46" s="455"/>
      <c r="DL46" s="455"/>
      <c r="DM46" s="455"/>
      <c r="DN46" s="455"/>
      <c r="DO46" s="455"/>
      <c r="DP46" s="455"/>
      <c r="DQ46" s="455"/>
      <c r="DR46" s="455"/>
      <c r="DS46" s="455"/>
      <c r="DT46" s="455"/>
      <c r="DU46" s="455"/>
      <c r="DV46" s="455"/>
      <c r="DW46" s="455"/>
      <c r="DX46" s="455"/>
      <c r="DY46" s="455"/>
      <c r="DZ46" s="455"/>
      <c r="EA46" s="455"/>
      <c r="EB46" s="455"/>
      <c r="EC46" s="455"/>
      <c r="ED46" s="455"/>
      <c r="EE46" s="455"/>
      <c r="EF46" s="455"/>
      <c r="EG46" s="455"/>
      <c r="EH46" s="455"/>
      <c r="EI46" s="455"/>
      <c r="EJ46" s="455"/>
      <c r="EK46" s="455"/>
      <c r="EL46" s="455"/>
      <c r="EM46" s="455"/>
      <c r="EN46" s="455"/>
      <c r="EO46" s="455"/>
      <c r="EP46" s="455"/>
      <c r="EQ46" s="455"/>
      <c r="ER46" s="455"/>
      <c r="ES46" s="455"/>
      <c r="ET46" s="455"/>
      <c r="EU46" s="455"/>
      <c r="EV46" s="455"/>
      <c r="EW46" s="455"/>
      <c r="EX46" s="455"/>
      <c r="EY46" s="455"/>
      <c r="EZ46" s="455"/>
      <c r="FA46" s="455"/>
      <c r="FB46" s="455"/>
      <c r="FC46" s="455"/>
      <c r="FD46" s="455"/>
      <c r="FE46" s="455"/>
      <c r="FF46" s="455"/>
    </row>
    <row r="47" spans="1:162" ht="18" customHeight="1" thickBot="1" x14ac:dyDescent="0.3">
      <c r="A47" s="84" t="s">
        <v>157</v>
      </c>
      <c r="B47" s="85">
        <f>(B46*1000/15003)^(-1/0.98)</f>
        <v>40.387128620158542</v>
      </c>
      <c r="C47" s="231"/>
      <c r="D47" s="231" t="s">
        <v>251</v>
      </c>
      <c r="E47" s="13" t="s">
        <v>78</v>
      </c>
      <c r="F47" s="10"/>
      <c r="G47" s="10"/>
      <c r="H47" s="10"/>
      <c r="I47" s="39"/>
      <c r="J47" s="442"/>
      <c r="L47" s="308"/>
      <c r="M47" s="308"/>
      <c r="N47" s="309"/>
      <c r="R47" s="439"/>
      <c r="S47" s="439"/>
      <c r="T47" s="455"/>
      <c r="U47" s="455"/>
      <c r="V47" s="455"/>
      <c r="W47" s="455"/>
      <c r="X47" s="455"/>
      <c r="Y47" s="455"/>
      <c r="Z47" s="455"/>
      <c r="AA47" s="455"/>
      <c r="AB47" s="455"/>
      <c r="AC47" s="455"/>
      <c r="AD47" s="455"/>
      <c r="AE47" s="455"/>
      <c r="AF47" s="455"/>
      <c r="AG47" s="455"/>
      <c r="AH47" s="455"/>
      <c r="AI47" s="455"/>
      <c r="AJ47" s="455"/>
      <c r="AK47" s="455"/>
      <c r="AL47" s="455"/>
      <c r="AM47" s="455"/>
      <c r="AN47" s="455"/>
      <c r="AO47" s="455"/>
      <c r="AP47" s="455"/>
      <c r="AQ47" s="455"/>
      <c r="AR47" s="455"/>
      <c r="AS47" s="455"/>
      <c r="AT47" s="455"/>
      <c r="AU47" s="455"/>
      <c r="AV47" s="455"/>
      <c r="AW47" s="455"/>
      <c r="AX47" s="455"/>
      <c r="AY47" s="455"/>
      <c r="AZ47" s="455"/>
      <c r="BA47" s="455"/>
      <c r="BB47" s="455"/>
      <c r="BC47" s="455"/>
      <c r="BD47" s="455"/>
      <c r="BE47" s="455"/>
      <c r="BF47" s="455"/>
      <c r="BG47" s="455"/>
      <c r="BH47" s="455"/>
      <c r="BI47" s="455"/>
      <c r="BJ47" s="455"/>
      <c r="BK47" s="455"/>
      <c r="BL47" s="455"/>
      <c r="BM47" s="455"/>
      <c r="BN47" s="455"/>
      <c r="BO47" s="455"/>
      <c r="BP47" s="455"/>
      <c r="BQ47" s="455"/>
      <c r="BR47" s="455"/>
      <c r="BS47" s="455"/>
      <c r="BT47" s="455"/>
      <c r="BU47" s="455"/>
      <c r="BV47" s="455"/>
      <c r="BW47" s="455"/>
      <c r="BX47" s="455"/>
      <c r="BY47" s="455"/>
      <c r="BZ47" s="455"/>
      <c r="CA47" s="455"/>
      <c r="CB47" s="455"/>
      <c r="CC47" s="455"/>
      <c r="CD47" s="455"/>
      <c r="CE47" s="455"/>
      <c r="CF47" s="455"/>
      <c r="CG47" s="455"/>
      <c r="CH47" s="455"/>
      <c r="CI47" s="455"/>
      <c r="CJ47" s="455"/>
      <c r="CK47" s="455"/>
      <c r="CL47" s="455"/>
      <c r="CM47" s="455"/>
      <c r="CN47" s="455"/>
      <c r="CO47" s="455"/>
      <c r="CP47" s="455"/>
      <c r="CQ47" s="455"/>
      <c r="CR47" s="455"/>
      <c r="CS47" s="455"/>
      <c r="CT47" s="455"/>
      <c r="CU47" s="455"/>
      <c r="CV47" s="455"/>
      <c r="CW47" s="455"/>
      <c r="CX47" s="455"/>
      <c r="CY47" s="455"/>
      <c r="CZ47" s="455"/>
      <c r="DA47" s="455"/>
      <c r="DB47" s="455"/>
      <c r="DC47" s="455"/>
      <c r="DD47" s="455"/>
      <c r="DE47" s="455"/>
      <c r="DF47" s="455"/>
      <c r="DG47" s="455"/>
      <c r="DH47" s="455"/>
      <c r="DI47" s="455"/>
      <c r="DJ47" s="455"/>
      <c r="DK47" s="455"/>
      <c r="DL47" s="455"/>
      <c r="DM47" s="455"/>
      <c r="DN47" s="455"/>
      <c r="DO47" s="455"/>
      <c r="DP47" s="455"/>
      <c r="DQ47" s="455"/>
      <c r="DR47" s="455"/>
      <c r="DS47" s="455"/>
      <c r="DT47" s="455"/>
      <c r="DU47" s="455"/>
      <c r="DV47" s="455"/>
      <c r="DW47" s="455"/>
      <c r="DX47" s="455"/>
      <c r="DY47" s="455"/>
      <c r="DZ47" s="455"/>
      <c r="EA47" s="455"/>
      <c r="EB47" s="455"/>
      <c r="EC47" s="455"/>
      <c r="ED47" s="455"/>
      <c r="EE47" s="455"/>
      <c r="EF47" s="455"/>
      <c r="EG47" s="455"/>
      <c r="EH47" s="455"/>
      <c r="EI47" s="455"/>
      <c r="EJ47" s="455"/>
      <c r="EK47" s="455"/>
      <c r="EL47" s="455"/>
      <c r="EM47" s="455"/>
      <c r="EN47" s="455"/>
      <c r="EO47" s="455"/>
      <c r="EP47" s="455"/>
      <c r="EQ47" s="455"/>
      <c r="ER47" s="455"/>
      <c r="ES47" s="455"/>
      <c r="ET47" s="455"/>
      <c r="EU47" s="455"/>
      <c r="EV47" s="455"/>
      <c r="EW47" s="455"/>
      <c r="EX47" s="455"/>
      <c r="EY47" s="455"/>
      <c r="EZ47" s="455"/>
      <c r="FA47" s="455"/>
      <c r="FB47" s="455"/>
      <c r="FC47" s="455"/>
      <c r="FD47" s="455"/>
      <c r="FE47" s="455"/>
      <c r="FF47" s="455"/>
    </row>
    <row r="48" spans="1:162" ht="18" customHeight="1" x14ac:dyDescent="0.25">
      <c r="A48" s="330" t="s">
        <v>124</v>
      </c>
      <c r="B48" s="331"/>
      <c r="C48" s="331"/>
      <c r="D48" s="331"/>
      <c r="E48" s="331"/>
      <c r="F48" s="331"/>
      <c r="G48" s="331"/>
      <c r="H48" s="331"/>
      <c r="I48" s="332"/>
      <c r="J48" s="442"/>
      <c r="L48" s="308"/>
      <c r="R48" s="439"/>
      <c r="S48" s="439"/>
      <c r="T48" s="455" t="s">
        <v>331</v>
      </c>
      <c r="U48" s="462">
        <f>IF(U34&gt;0,Constants!$B$30,Constants!$B$29)</f>
        <v>3.9</v>
      </c>
      <c r="V48" s="462">
        <f>IF(V34&gt;0,Constants!$B$30,Constants!$B$29)</f>
        <v>3.9</v>
      </c>
      <c r="W48" s="462">
        <f>IF(W34&gt;0,Constants!$B$30,Constants!$B$29)</f>
        <v>3.9</v>
      </c>
      <c r="X48" s="462">
        <f>IF(X34&gt;0,Constants!$B$30,Constants!$B$29)</f>
        <v>3.9</v>
      </c>
      <c r="Y48" s="462">
        <f>IF(Y34&gt;0,Constants!$B$30,Constants!$B$29)</f>
        <v>3.9</v>
      </c>
      <c r="Z48" s="462">
        <f>IF(Z34&gt;0,Constants!$B$30,Constants!$B$29)</f>
        <v>3.9</v>
      </c>
      <c r="AA48" s="462">
        <f>IF(AA34&gt;0,Constants!$B$30,Constants!$B$29)</f>
        <v>3.9</v>
      </c>
      <c r="AB48" s="462">
        <f>IF(AB34&gt;0,Constants!$B$30,Constants!$B$29)</f>
        <v>3.9</v>
      </c>
      <c r="AC48" s="462">
        <f>IF(AC34&gt;0,Constants!$B$30,Constants!$B$29)</f>
        <v>3.9</v>
      </c>
      <c r="AD48" s="462">
        <f>IF(AD34&gt;0,Constants!$B$30,Constants!$B$29)</f>
        <v>3.9</v>
      </c>
      <c r="AE48" s="462">
        <f>IF(AE34&gt;0,Constants!$B$30,Constants!$B$29)</f>
        <v>3.9</v>
      </c>
      <c r="AF48" s="462">
        <f>IF(AF34&gt;0,Constants!$B$30,Constants!$B$29)</f>
        <v>3.9</v>
      </c>
      <c r="AG48" s="462">
        <f>IF(AG34&gt;0,Constants!$B$30,Constants!$B$29)</f>
        <v>3.9</v>
      </c>
      <c r="AH48" s="462">
        <f>IF(AH34&gt;0,Constants!$B$30,Constants!$B$29)</f>
        <v>3.9</v>
      </c>
      <c r="AI48" s="462">
        <f>IF(AI34&gt;0,Constants!$B$30,Constants!$B$29)</f>
        <v>3.9</v>
      </c>
      <c r="AJ48" s="462">
        <f>IF(AJ34&gt;0,Constants!$B$30,Constants!$B$29)</f>
        <v>3.9</v>
      </c>
      <c r="AK48" s="462">
        <f>IF(AK34&gt;0,Constants!$B$30,Constants!$B$29)</f>
        <v>3.9</v>
      </c>
      <c r="AL48" s="462">
        <f>IF(AL34&gt;0,Constants!$B$30,Constants!$B$29)</f>
        <v>3.9</v>
      </c>
      <c r="AM48" s="462">
        <f>IF(AM34&gt;0,Constants!$B$30,Constants!$B$29)</f>
        <v>3.9</v>
      </c>
      <c r="AN48" s="462">
        <f>IF(AN34&gt;0,Constants!$B$30,Constants!$B$29)</f>
        <v>3.9</v>
      </c>
      <c r="AO48" s="462">
        <f>IF(AO34&gt;0,Constants!$B$30,Constants!$B$29)</f>
        <v>3.9</v>
      </c>
      <c r="AP48" s="462">
        <f>IF(AP34&gt;0,Constants!$B$30,Constants!$B$29)</f>
        <v>3.9</v>
      </c>
      <c r="AQ48" s="462">
        <f>IF(AQ34&gt;0,Constants!$B$30,Constants!$B$29)</f>
        <v>3.9</v>
      </c>
      <c r="AR48" s="462">
        <f>IF(AR34&gt;0,Constants!$B$30,Constants!$B$29)</f>
        <v>3.9</v>
      </c>
      <c r="AS48" s="462">
        <f>IF(AS34&gt;0,Constants!$B$30,Constants!$B$29)</f>
        <v>3.9</v>
      </c>
      <c r="AT48" s="462">
        <f>IF(AT34&gt;0,Constants!$B$30,Constants!$B$29)</f>
        <v>3.9</v>
      </c>
      <c r="AU48" s="462">
        <f>IF(AU34&gt;0,Constants!$B$30,Constants!$B$29)</f>
        <v>3.9</v>
      </c>
      <c r="AV48" s="462">
        <f>IF(AV34&gt;0,Constants!$B$30,Constants!$B$29)</f>
        <v>3.9</v>
      </c>
      <c r="AW48" s="462">
        <f>IF(AW34&gt;0,Constants!$B$30,Constants!$B$29)</f>
        <v>3.9</v>
      </c>
      <c r="AX48" s="462">
        <f>IF(AX34&gt;0,Constants!$B$30,Constants!$B$29)</f>
        <v>3.9</v>
      </c>
      <c r="AY48" s="462">
        <f>IF(AY34&gt;0,Constants!$B$30,Constants!$B$29)</f>
        <v>3.9</v>
      </c>
      <c r="AZ48" s="462">
        <f>IF(AZ34&gt;0,Constants!$B$30,Constants!$B$29)</f>
        <v>3.9</v>
      </c>
      <c r="BA48" s="462">
        <f>IF(BA34&gt;0,Constants!$B$30,Constants!$B$29)</f>
        <v>3.9</v>
      </c>
      <c r="BB48" s="462">
        <f>IF(BB34&gt;0,Constants!$B$30,Constants!$B$29)</f>
        <v>3.9</v>
      </c>
      <c r="BC48" s="462">
        <f>IF(BC34&gt;0,Constants!$B$30,Constants!$B$29)</f>
        <v>3.9</v>
      </c>
      <c r="BD48" s="462">
        <f>IF(BD34&gt;0,Constants!$B$30,Constants!$B$29)</f>
        <v>3.9</v>
      </c>
      <c r="BE48" s="462">
        <f>IF(BE34&gt;0,Constants!$B$30,Constants!$B$29)</f>
        <v>3.9</v>
      </c>
      <c r="BF48" s="462">
        <f>IF(BF34&gt;0,Constants!$B$30,Constants!$B$29)</f>
        <v>3.9</v>
      </c>
      <c r="BG48" s="462">
        <f>IF(BG34&gt;0,Constants!$B$30,Constants!$B$29)</f>
        <v>3.9</v>
      </c>
      <c r="BH48" s="462">
        <f>IF(BH34&gt;0,Constants!$B$30,Constants!$B$29)</f>
        <v>3.9</v>
      </c>
      <c r="BI48" s="462">
        <f>IF(BI34&gt;0,Constants!$B$30,Constants!$B$29)</f>
        <v>3.9</v>
      </c>
      <c r="BJ48" s="462">
        <f>IF(BJ34&gt;0,Constants!$B$30,Constants!$B$29)</f>
        <v>3.9</v>
      </c>
      <c r="BK48" s="462">
        <f>IF(BK34&gt;0,Constants!$B$30,Constants!$B$29)</f>
        <v>3.9</v>
      </c>
      <c r="BL48" s="462">
        <f>IF(BL34&gt;0,Constants!$B$30,Constants!$B$29)</f>
        <v>3.9</v>
      </c>
      <c r="BM48" s="462">
        <f>IF(BM34&gt;0,Constants!$B$30,Constants!$B$29)</f>
        <v>3.9</v>
      </c>
      <c r="BN48" s="462">
        <f>IF(BN34&gt;0,Constants!$B$30,Constants!$B$29)</f>
        <v>2.4</v>
      </c>
      <c r="BO48" s="462">
        <f>IF(BO34&gt;0,Constants!$B$30,Constants!$B$29)</f>
        <v>2.4</v>
      </c>
      <c r="BP48" s="462">
        <f>IF(BP34&gt;0,Constants!$B$30,Constants!$B$29)</f>
        <v>2.4</v>
      </c>
      <c r="BQ48" s="462">
        <f>IF(BQ34&gt;0,Constants!$B$30,Constants!$B$29)</f>
        <v>2.4</v>
      </c>
      <c r="BR48" s="462">
        <f>IF(BR34&gt;0,Constants!$B$30,Constants!$B$29)</f>
        <v>2.4</v>
      </c>
      <c r="BS48" s="462">
        <f>IF(BS34&gt;0,Constants!$B$30,Constants!$B$29)</f>
        <v>2.4</v>
      </c>
      <c r="BT48" s="462">
        <f>IF(BT34&gt;0,Constants!$B$30,Constants!$B$29)</f>
        <v>2.4</v>
      </c>
      <c r="BU48" s="462">
        <f>IF(BU34&gt;0,Constants!$B$30,Constants!$B$29)</f>
        <v>2.4</v>
      </c>
      <c r="BV48" s="462">
        <f>IF(BV34&gt;0,Constants!$B$30,Constants!$B$29)</f>
        <v>2.4</v>
      </c>
      <c r="BW48" s="462">
        <f>IF(BW34&gt;0,Constants!$B$30,Constants!$B$29)</f>
        <v>2.4</v>
      </c>
      <c r="BX48" s="462">
        <f>IF(BX34&gt;0,Constants!$B$30,Constants!$B$29)</f>
        <v>2.4</v>
      </c>
      <c r="BY48" s="462">
        <f>IF(BY34&gt;0,Constants!$B$30,Constants!$B$29)</f>
        <v>2.4</v>
      </c>
      <c r="BZ48" s="462">
        <f>IF(BZ34&gt;0,Constants!$B$30,Constants!$B$29)</f>
        <v>2.4</v>
      </c>
      <c r="CA48" s="462">
        <f>IF(CA34&gt;0,Constants!$B$30,Constants!$B$29)</f>
        <v>2.4</v>
      </c>
      <c r="CB48" s="462">
        <f>IF(CB34&gt;0,Constants!$B$30,Constants!$B$29)</f>
        <v>2.4</v>
      </c>
      <c r="CC48" s="462">
        <f>IF(CC34&gt;0,Constants!$B$30,Constants!$B$29)</f>
        <v>2.4</v>
      </c>
      <c r="CD48" s="462">
        <f>IF(CD34&gt;0,Constants!$B$30,Constants!$B$29)</f>
        <v>2.4</v>
      </c>
      <c r="CE48" s="462">
        <f>IF(CE34&gt;0,Constants!$B$30,Constants!$B$29)</f>
        <v>2.4</v>
      </c>
      <c r="CF48" s="462">
        <f>IF(CF34&gt;0,Constants!$B$30,Constants!$B$29)</f>
        <v>2.4</v>
      </c>
      <c r="CG48" s="462">
        <f>IF(CG34&gt;0,Constants!$B$30,Constants!$B$29)</f>
        <v>2.4</v>
      </c>
      <c r="CH48" s="462">
        <f>IF(CH34&gt;0,Constants!$B$30,Constants!$B$29)</f>
        <v>2.4</v>
      </c>
      <c r="CI48" s="462">
        <f>IF(CI34&gt;0,Constants!$B$30,Constants!$B$29)</f>
        <v>2.4</v>
      </c>
      <c r="CJ48" s="462">
        <f>IF(CJ34&gt;0,Constants!$B$30,Constants!$B$29)</f>
        <v>2.4</v>
      </c>
      <c r="CK48" s="462">
        <f>IF(CK34&gt;0,Constants!$B$30,Constants!$B$29)</f>
        <v>2.4</v>
      </c>
      <c r="CL48" s="462">
        <f>IF(CL34&gt;0,Constants!$B$30,Constants!$B$29)</f>
        <v>2.4</v>
      </c>
      <c r="CM48" s="462">
        <f>IF(CM34&gt;0,Constants!$B$30,Constants!$B$29)</f>
        <v>2.4</v>
      </c>
      <c r="CN48" s="462">
        <f>IF(CN34&gt;0,Constants!$B$30,Constants!$B$29)</f>
        <v>2.4</v>
      </c>
      <c r="CO48" s="462">
        <f>IF(CO34&gt;0,Constants!$B$30,Constants!$B$29)</f>
        <v>2.4</v>
      </c>
      <c r="CP48" s="462">
        <f>IF(CP34&gt;0,Constants!$B$30,Constants!$B$29)</f>
        <v>2.4</v>
      </c>
      <c r="CQ48" s="462">
        <f>IF(CQ34&gt;0,Constants!$B$30,Constants!$B$29)</f>
        <v>2.4</v>
      </c>
      <c r="CR48" s="462">
        <f>IF(CR34&gt;0,Constants!$B$30,Constants!$B$29)</f>
        <v>2.4</v>
      </c>
      <c r="CS48" s="462">
        <f>IF(CS34&gt;0,Constants!$B$30,Constants!$B$29)</f>
        <v>2.4</v>
      </c>
      <c r="CT48" s="462">
        <f>IF(CT34&gt;0,Constants!$B$30,Constants!$B$29)</f>
        <v>2.4</v>
      </c>
      <c r="CU48" s="462">
        <f>IF(CU34&gt;0,Constants!$B$30,Constants!$B$29)</f>
        <v>2.4</v>
      </c>
      <c r="CV48" s="462">
        <f>IF(CV34&gt;0,Constants!$B$30,Constants!$B$29)</f>
        <v>2.4</v>
      </c>
      <c r="CW48" s="462">
        <f>IF(CW34&gt;0,Constants!$B$30,Constants!$B$29)</f>
        <v>2.4</v>
      </c>
      <c r="CX48" s="462">
        <f>IF(CX34&gt;0,Constants!$B$30,Constants!$B$29)</f>
        <v>2.4</v>
      </c>
      <c r="CY48" s="462">
        <f>IF(CY34&gt;0,Constants!$B$30,Constants!$B$29)</f>
        <v>2.4</v>
      </c>
      <c r="CZ48" s="462">
        <f>IF(CZ34&gt;0,Constants!$B$30,Constants!$B$29)</f>
        <v>2.4</v>
      </c>
      <c r="DA48" s="462">
        <f>IF(DA34&gt;0,Constants!$B$30,Constants!$B$29)</f>
        <v>2.4</v>
      </c>
      <c r="DB48" s="462">
        <f>IF(DB34&gt;0,Constants!$B$30,Constants!$B$29)</f>
        <v>2.4</v>
      </c>
      <c r="DC48" s="462">
        <f>IF(DC34&gt;0,Constants!$B$30,Constants!$B$29)</f>
        <v>2.4</v>
      </c>
      <c r="DD48" s="462">
        <f>IF(DD34&gt;0,Constants!$B$30,Constants!$B$29)</f>
        <v>2.4</v>
      </c>
      <c r="DE48" s="462">
        <f>IF(DE34&gt;0,Constants!$B$30,Constants!$B$29)</f>
        <v>2.4</v>
      </c>
      <c r="DF48" s="462">
        <f>IF(DF34&gt;0,Constants!$B$30,Constants!$B$29)</f>
        <v>2.4</v>
      </c>
      <c r="DG48" s="462">
        <f>IF(DG34&gt;0,Constants!$B$30,Constants!$B$29)</f>
        <v>2.4</v>
      </c>
      <c r="DH48" s="462">
        <f>IF(DH34&gt;0,Constants!$B$30,Constants!$B$29)</f>
        <v>2.4</v>
      </c>
      <c r="DI48" s="462">
        <f>IF(DI34&gt;0,Constants!$B$30,Constants!$B$29)</f>
        <v>2.4</v>
      </c>
      <c r="DJ48" s="462">
        <f>IF(DJ34&gt;0,Constants!$B$30,Constants!$B$29)</f>
        <v>2.4</v>
      </c>
      <c r="DK48" s="462">
        <f>IF(DK34&gt;0,Constants!$B$30,Constants!$B$29)</f>
        <v>2.4</v>
      </c>
      <c r="DL48" s="462">
        <f>IF(DL34&gt;0,Constants!$B$30,Constants!$B$29)</f>
        <v>2.4</v>
      </c>
      <c r="DM48" s="462">
        <f>IF(DM34&gt;0,Constants!$B$30,Constants!$B$29)</f>
        <v>2.4</v>
      </c>
      <c r="DN48" s="462">
        <f>IF(DN34&gt;0,Constants!$B$30,Constants!$B$29)</f>
        <v>2.4</v>
      </c>
      <c r="DO48" s="462">
        <f>IF(DO34&gt;0,Constants!$B$30,Constants!$B$29)</f>
        <v>2.4</v>
      </c>
      <c r="DP48" s="462">
        <f>IF(DP34&gt;0,Constants!$B$30,Constants!$B$29)</f>
        <v>2.4</v>
      </c>
      <c r="DQ48" s="462">
        <f>IF(DQ34&gt;0,Constants!$B$30,Constants!$B$29)</f>
        <v>2.4</v>
      </c>
      <c r="DR48" s="462">
        <f>IF(DR34&gt;0,Constants!$B$30,Constants!$B$29)</f>
        <v>2.4</v>
      </c>
      <c r="DS48" s="462">
        <f>IF(DS34&gt;0,Constants!$B$30,Constants!$B$29)</f>
        <v>2.4</v>
      </c>
      <c r="DT48" s="462">
        <f>IF(DT34&gt;0,Constants!$B$30,Constants!$B$29)</f>
        <v>2.4</v>
      </c>
      <c r="DU48" s="462">
        <f>IF(DU34&gt;0,Constants!$B$30,Constants!$B$29)</f>
        <v>2.4</v>
      </c>
      <c r="DV48" s="462">
        <f>IF(DV34&gt;0,Constants!$B$30,Constants!$B$29)</f>
        <v>2.4</v>
      </c>
      <c r="DW48" s="462">
        <f>IF(DW34&gt;0,Constants!$B$30,Constants!$B$29)</f>
        <v>2.4</v>
      </c>
      <c r="DX48" s="462">
        <f>IF(DX34&gt;0,Constants!$B$30,Constants!$B$29)</f>
        <v>2.4</v>
      </c>
      <c r="DY48" s="462">
        <f>IF(DY34&gt;0,Constants!$B$30,Constants!$B$29)</f>
        <v>2.4</v>
      </c>
      <c r="DZ48" s="462">
        <f>IF(DZ34&gt;0,Constants!$B$30,Constants!$B$29)</f>
        <v>2.4</v>
      </c>
      <c r="EA48" s="462">
        <f>IF(EA34&gt;0,Constants!$B$30,Constants!$B$29)</f>
        <v>2.4</v>
      </c>
      <c r="EB48" s="462">
        <f>IF(EB34&gt;0,Constants!$B$30,Constants!$B$29)</f>
        <v>2.4</v>
      </c>
      <c r="EC48" s="462">
        <f>IF(EC34&gt;0,Constants!$B$30,Constants!$B$29)</f>
        <v>2.4</v>
      </c>
      <c r="ED48" s="462">
        <f>IF(ED34&gt;0,Constants!$B$30,Constants!$B$29)</f>
        <v>2.4</v>
      </c>
      <c r="EE48" s="462">
        <f>IF(EE34&gt;0,Constants!$B$30,Constants!$B$29)</f>
        <v>2.4</v>
      </c>
      <c r="EF48" s="462">
        <f>IF(EF34&gt;0,Constants!$B$30,Constants!$B$29)</f>
        <v>2.4</v>
      </c>
      <c r="EG48" s="462">
        <f>IF(EG34&gt;0,Constants!$B$30,Constants!$B$29)</f>
        <v>2.4</v>
      </c>
      <c r="EH48" s="462">
        <f>IF(EH34&gt;0,Constants!$B$30,Constants!$B$29)</f>
        <v>2.4</v>
      </c>
      <c r="EI48" s="462">
        <f>IF(EI34&gt;0,Constants!$B$30,Constants!$B$29)</f>
        <v>2.4</v>
      </c>
      <c r="EJ48" s="462">
        <f>IF(EJ34&gt;0,Constants!$B$30,Constants!$B$29)</f>
        <v>2.4</v>
      </c>
      <c r="EK48" s="462">
        <f>IF(EK34&gt;0,Constants!$B$30,Constants!$B$29)</f>
        <v>2.4</v>
      </c>
      <c r="EL48" s="462">
        <f>IF(EL34&gt;0,Constants!$B$30,Constants!$B$29)</f>
        <v>2.4</v>
      </c>
      <c r="EM48" s="462">
        <f>IF(EM34&gt;0,Constants!$B$30,Constants!$B$29)</f>
        <v>2.4</v>
      </c>
      <c r="EN48" s="462">
        <f>IF(EN34&gt;0,Constants!$B$30,Constants!$B$29)</f>
        <v>2.4</v>
      </c>
      <c r="EO48" s="462">
        <f>IF(EO34&gt;0,Constants!$B$30,Constants!$B$29)</f>
        <v>2.4</v>
      </c>
      <c r="EP48" s="462">
        <f>IF(EP34&gt;0,Constants!$B$30,Constants!$B$29)</f>
        <v>2.4</v>
      </c>
      <c r="EQ48" s="462">
        <f>IF(EQ34&gt;0,Constants!$B$30,Constants!$B$29)</f>
        <v>2.4</v>
      </c>
      <c r="ER48" s="462">
        <f>IF(ER34&gt;0,Constants!$B$30,Constants!$B$29)</f>
        <v>2.4</v>
      </c>
      <c r="ES48" s="462">
        <f>IF(ES34&gt;0,Constants!$B$30,Constants!$B$29)</f>
        <v>2.4</v>
      </c>
      <c r="ET48" s="462">
        <f>IF(ET34&gt;0,Constants!$B$30,Constants!$B$29)</f>
        <v>2.4</v>
      </c>
      <c r="EU48" s="462">
        <f>IF(EU34&gt;0,Constants!$B$30,Constants!$B$29)</f>
        <v>2.4</v>
      </c>
      <c r="EV48" s="462">
        <f>IF(EV34&gt;0,Constants!$B$30,Constants!$B$29)</f>
        <v>2.4</v>
      </c>
      <c r="EW48" s="462">
        <f>IF(EW34&gt;0,Constants!$B$30,Constants!$B$29)</f>
        <v>2.4</v>
      </c>
      <c r="EX48" s="462">
        <f>IF(EX34&gt;0,Constants!$B$30,Constants!$B$29)</f>
        <v>2.4</v>
      </c>
      <c r="EY48" s="462">
        <f>IF(EY34&gt;0,Constants!$B$30,Constants!$B$29)</f>
        <v>2.4</v>
      </c>
      <c r="EZ48" s="462">
        <f>IF(EZ34&gt;0,Constants!$B$30,Constants!$B$29)</f>
        <v>2.4</v>
      </c>
      <c r="FA48" s="462">
        <f>IF(FA34&gt;0,Constants!$B$30,Constants!$B$29)</f>
        <v>2.4</v>
      </c>
      <c r="FB48" s="462">
        <f>IF(FB34&gt;0,Constants!$B$30,Constants!$B$29)</f>
        <v>2.4</v>
      </c>
      <c r="FC48" s="462">
        <f>IF(FC34&gt;0,Constants!$B$30,Constants!$B$29)</f>
        <v>2.4</v>
      </c>
      <c r="FD48" s="462">
        <f>IF(FD34&gt;0,Constants!$B$30,Constants!$B$29)</f>
        <v>2.4</v>
      </c>
      <c r="FE48" s="462">
        <f>IF(FE34&gt;0,Constants!$B$30,Constants!$B$29)</f>
        <v>2.4</v>
      </c>
      <c r="FF48" s="455"/>
    </row>
    <row r="49" spans="1:14" ht="18" customHeight="1" x14ac:dyDescent="0.25">
      <c r="A49" s="159" t="s">
        <v>255</v>
      </c>
      <c r="B49" s="333">
        <f ca="1">1.5*MAX((C5+2*B24)/(2*Constants!G55),(C5+1*B24-B4)/(Constants!G55))</f>
        <v>29.562637362637368</v>
      </c>
      <c r="C49" s="333"/>
      <c r="D49" s="201" t="s">
        <v>64</v>
      </c>
      <c r="E49" s="203" t="s">
        <v>258</v>
      </c>
      <c r="F49" s="10"/>
      <c r="G49" s="10"/>
      <c r="H49" s="10"/>
      <c r="I49" s="40"/>
      <c r="J49" s="442"/>
      <c r="L49" s="308"/>
    </row>
    <row r="50" spans="1:14" ht="18" customHeight="1" thickBot="1" x14ac:dyDescent="0.3">
      <c r="A50" s="159" t="s">
        <v>261</v>
      </c>
      <c r="B50" s="362" t="str">
        <f>IF(Vin_typ&lt;=Vin_mode, "N/A", IF(Vin_typ&lt;=18,(Vout_target+2*VF)*(Vin_typ-(Vout_target+1*VF))/((Vin_typ+1*VF)*Iout*C8/100*Fsw),(Vout_target+2*VF)*(Vin_typ-(Vout_target+1*VF))/((Vin_typ+1*B24)*D7*C8/100*(1.5*Fsw-Vin_typ/36*Fsw))))</f>
        <v>N/A</v>
      </c>
      <c r="C50" s="362"/>
      <c r="D50" s="201" t="s">
        <v>64</v>
      </c>
      <c r="E50" s="74" t="s">
        <v>263</v>
      </c>
      <c r="F50" s="318"/>
      <c r="G50" s="318"/>
      <c r="H50" s="318"/>
      <c r="I50" s="319"/>
      <c r="J50" s="442"/>
    </row>
    <row r="51" spans="1:14" ht="18" customHeight="1" thickBot="1" x14ac:dyDescent="0.3">
      <c r="A51" s="84" t="s">
        <v>40</v>
      </c>
      <c r="B51" s="325">
        <v>33</v>
      </c>
      <c r="C51" s="326"/>
      <c r="D51" s="205" t="s">
        <v>158</v>
      </c>
      <c r="E51" s="74" t="s">
        <v>297</v>
      </c>
      <c r="F51" s="10"/>
      <c r="G51" s="10"/>
      <c r="H51" s="10"/>
      <c r="I51" s="39"/>
      <c r="J51" s="442"/>
    </row>
    <row r="52" spans="1:14" ht="18" customHeight="1" thickBot="1" x14ac:dyDescent="0.3">
      <c r="A52" s="206" t="s">
        <v>167</v>
      </c>
      <c r="B52" s="363">
        <v>40</v>
      </c>
      <c r="C52" s="364"/>
      <c r="D52" s="207" t="s">
        <v>166</v>
      </c>
      <c r="E52" s="204" t="s">
        <v>168</v>
      </c>
      <c r="F52" s="91"/>
      <c r="G52" s="91"/>
      <c r="H52" s="91"/>
      <c r="I52" s="92"/>
      <c r="J52" s="442"/>
      <c r="L52" s="308"/>
      <c r="M52" s="308"/>
      <c r="N52" s="308"/>
    </row>
    <row r="53" spans="1:14" ht="18" customHeight="1" x14ac:dyDescent="0.25">
      <c r="A53" s="232" t="s">
        <v>257</v>
      </c>
      <c r="B53" s="333">
        <f ca="1">D7+0.5*(C5+2*B24)*(D4-(C5+1*B24))/((D4+1*B24)*B51*Fsw/2)</f>
        <v>1.6285931731828938</v>
      </c>
      <c r="C53" s="333"/>
      <c r="D53" s="201" t="s">
        <v>13</v>
      </c>
      <c r="E53" s="203" t="s">
        <v>264</v>
      </c>
      <c r="F53" s="10"/>
      <c r="G53" s="10"/>
      <c r="H53" s="10"/>
      <c r="I53" s="39"/>
      <c r="L53" s="309"/>
    </row>
    <row r="54" spans="1:14" ht="18" customHeight="1" x14ac:dyDescent="0.25">
      <c r="A54" s="232" t="s">
        <v>256</v>
      </c>
      <c r="B54" s="333">
        <f ca="1">(D7+0.5*(1-D_Buck0)*MAX((B4-B52/1000*D7/(1-DBoost_MAX))*MAX(0,1-Vin_min*1.844/RNG)/(B51*B46),(B4-B52/1000*D7/(1-DBoost_MAX))*DBoost_MAX/(B51*B46)+(B4-C5-B24)*(D_Buck0-DBoost_MAX)/(B46*B51)))/(1-DBoost_MAX)</f>
        <v>2.8326901242586406</v>
      </c>
      <c r="C54" s="333"/>
      <c r="D54" s="201" t="s">
        <v>13</v>
      </c>
      <c r="E54" s="203" t="s">
        <v>265</v>
      </c>
      <c r="F54" s="10"/>
      <c r="G54" s="10"/>
      <c r="H54" s="10"/>
      <c r="I54" s="39"/>
      <c r="L54" s="309"/>
    </row>
    <row r="55" spans="1:14" ht="18" customHeight="1" x14ac:dyDescent="0.25">
      <c r="A55" s="232" t="s">
        <v>293</v>
      </c>
      <c r="B55" s="333">
        <f ca="1">Constants!B29-B53</f>
        <v>0.77140682681710615</v>
      </c>
      <c r="C55" s="333"/>
      <c r="D55" s="264" t="s">
        <v>13</v>
      </c>
      <c r="E55" s="263" t="s">
        <v>295</v>
      </c>
      <c r="F55" s="10"/>
      <c r="G55" s="10"/>
      <c r="H55" s="10"/>
      <c r="I55" s="39"/>
      <c r="L55" s="309"/>
    </row>
    <row r="56" spans="1:14" ht="18" customHeight="1" thickBot="1" x14ac:dyDescent="0.3">
      <c r="A56" s="232" t="s">
        <v>294</v>
      </c>
      <c r="B56" s="370">
        <f ca="1">Constants!B30-B54</f>
        <v>1.0673098757413593</v>
      </c>
      <c r="C56" s="370"/>
      <c r="D56" s="202" t="s">
        <v>13</v>
      </c>
      <c r="E56" s="263" t="s">
        <v>296</v>
      </c>
      <c r="F56" s="10"/>
      <c r="G56" s="10"/>
      <c r="H56" s="10"/>
      <c r="I56" s="39"/>
      <c r="K56" s="310"/>
      <c r="L56" s="310"/>
      <c r="M56" s="310"/>
    </row>
    <row r="57" spans="1:14" ht="18" customHeight="1" thickBot="1" x14ac:dyDescent="0.3">
      <c r="A57" s="330" t="s">
        <v>230</v>
      </c>
      <c r="B57" s="331"/>
      <c r="C57" s="331"/>
      <c r="D57" s="331"/>
      <c r="E57" s="331"/>
      <c r="F57" s="331"/>
      <c r="G57" s="331"/>
      <c r="H57" s="331"/>
      <c r="I57" s="332"/>
      <c r="K57" s="311"/>
      <c r="L57" s="312"/>
      <c r="M57" s="312"/>
    </row>
    <row r="58" spans="1:14" ht="18" customHeight="1" thickBot="1" x14ac:dyDescent="0.3">
      <c r="A58" s="72" t="s">
        <v>140</v>
      </c>
      <c r="B58" s="75">
        <v>50</v>
      </c>
      <c r="C58" s="73"/>
      <c r="D58" s="73" t="s">
        <v>23</v>
      </c>
      <c r="E58" s="203" t="s">
        <v>317</v>
      </c>
      <c r="F58" s="71"/>
      <c r="G58" s="71"/>
      <c r="H58" s="71"/>
      <c r="I58" s="71"/>
      <c r="J58" s="316"/>
      <c r="K58" s="312"/>
      <c r="L58" s="312"/>
      <c r="M58" s="312"/>
    </row>
    <row r="59" spans="1:14" ht="18" customHeight="1" thickBot="1" x14ac:dyDescent="0.3">
      <c r="A59" s="38" t="s">
        <v>123</v>
      </c>
      <c r="B59" s="89">
        <f>(IF(ISBLANK(B58),Constants!B37,B58))/Constants!B37*Constants!B38*Constants!B34/C5*Constants!B39/(IF(ISBLANK(B46),1,B46))*D7/Constants!B35</f>
        <v>0.62499999999999989</v>
      </c>
      <c r="C59" s="11"/>
      <c r="D59" s="11" t="s">
        <v>116</v>
      </c>
      <c r="E59" s="13" t="s">
        <v>318</v>
      </c>
      <c r="F59" s="87"/>
      <c r="G59" s="87"/>
      <c r="H59" s="87"/>
      <c r="I59" s="88"/>
      <c r="K59" s="313"/>
      <c r="L59" s="314"/>
      <c r="M59" s="315"/>
    </row>
    <row r="60" spans="1:14" ht="18" customHeight="1" thickBot="1" x14ac:dyDescent="0.3">
      <c r="A60" s="81" t="s">
        <v>107</v>
      </c>
      <c r="B60" s="90">
        <v>3</v>
      </c>
      <c r="C60" s="83"/>
      <c r="D60" s="83" t="s">
        <v>116</v>
      </c>
      <c r="E60" s="13" t="s">
        <v>160</v>
      </c>
      <c r="F60" s="10"/>
      <c r="G60" s="10"/>
      <c r="H60" s="10"/>
      <c r="I60" s="39"/>
      <c r="K60" s="313"/>
      <c r="L60" s="314"/>
      <c r="M60" s="315"/>
    </row>
    <row r="61" spans="1:14" ht="18" customHeight="1" x14ac:dyDescent="0.25">
      <c r="A61" s="38" t="s">
        <v>110</v>
      </c>
      <c r="B61" s="7">
        <f>IF(ISBLANK(B60),B59,B60)*(1-Constants!B41/100)*(Constants!C49*$C$5^3+Constants!C50*$C$5^2+Constants!C51*$C$5+Constants!C52)</f>
        <v>16.045019999999994</v>
      </c>
      <c r="C61" s="8"/>
      <c r="D61" s="8" t="s">
        <v>65</v>
      </c>
      <c r="E61" s="13" t="s">
        <v>149</v>
      </c>
      <c r="F61" s="10"/>
      <c r="G61" s="10"/>
      <c r="H61" s="10"/>
      <c r="I61" s="39"/>
      <c r="K61" s="313"/>
      <c r="L61" s="314"/>
      <c r="M61" s="315"/>
    </row>
    <row r="62" spans="1:14" ht="18" customHeight="1" thickBot="1" x14ac:dyDescent="0.3">
      <c r="A62" s="67" t="s">
        <v>267</v>
      </c>
      <c r="B62" s="184">
        <f>MAX(1*D7*DBoost_MAX/(B61*Fsw)*1000,B58/100*D7/(8*Fsw*B61)*1000)</f>
        <v>99.374403130334898</v>
      </c>
      <c r="C62" s="68"/>
      <c r="D62" s="202" t="s">
        <v>236</v>
      </c>
      <c r="E62" s="69" t="s">
        <v>268</v>
      </c>
      <c r="F62" s="43"/>
      <c r="G62" s="43"/>
      <c r="H62" s="43"/>
      <c r="I62" s="44"/>
    </row>
    <row r="63" spans="1:14" ht="18" customHeight="1" x14ac:dyDescent="0.25">
      <c r="A63" s="80" t="s">
        <v>269</v>
      </c>
      <c r="B63" s="323"/>
      <c r="C63" s="8"/>
      <c r="D63" s="79"/>
      <c r="E63" s="8"/>
      <c r="F63" s="10"/>
      <c r="G63" s="10"/>
      <c r="H63" s="10"/>
      <c r="I63" s="39"/>
    </row>
    <row r="64" spans="1:14" ht="18" customHeight="1" thickBot="1" x14ac:dyDescent="0.3">
      <c r="A64" s="84" t="s">
        <v>270</v>
      </c>
      <c r="B64" s="85">
        <f>D7</f>
        <v>1</v>
      </c>
      <c r="C64" s="82"/>
      <c r="D64" s="82" t="s">
        <v>13</v>
      </c>
      <c r="E64" s="70" t="s">
        <v>319</v>
      </c>
      <c r="F64" s="10"/>
      <c r="G64" s="10"/>
      <c r="H64" s="10"/>
      <c r="I64" s="39"/>
    </row>
    <row r="65" spans="1:10" ht="18" customHeight="1" x14ac:dyDescent="0.25">
      <c r="A65" s="330" t="s">
        <v>121</v>
      </c>
      <c r="B65" s="331"/>
      <c r="C65" s="331"/>
      <c r="D65" s="331"/>
      <c r="E65" s="331"/>
      <c r="F65" s="331"/>
      <c r="G65" s="331"/>
      <c r="H65" s="331"/>
      <c r="I65" s="332"/>
    </row>
    <row r="66" spans="1:10" ht="18" customHeight="1" x14ac:dyDescent="0.25">
      <c r="A66" s="84" t="s">
        <v>41</v>
      </c>
      <c r="B66" s="85">
        <f>MAX(IF(C5/C41&lt;0.5,Iout*C5/C41*(1-C5/C41)/(0.85*Fsw*UVLO_multip*UVLO_Hysteresis)*1000,IF(C5/0.5&lt;=18,Iout*0.5*(1-0.5)/(0.85*Fsw*UVLO_multip*UVLO_Hysteresis)*1000,Iout*0.5*(1-0.5)/(0.85*(1.5*Fsw-C5/0.5*Fsw/36)*UVLO_multip*UVLO_Hysteresis)*1000)),(Iout*(C5*1.844/RNG)*(1-(C5*1.844/RNG))/(0.85*Fsw*UVLO_multip*UVLO_Hysteresis*(1-MAX(0,1-Vin_min*1.844/RNG)))*1000))</f>
        <v>3.3644003055767753</v>
      </c>
      <c r="C66" s="205"/>
      <c r="D66" s="205" t="s">
        <v>159</v>
      </c>
      <c r="E66" s="13" t="s">
        <v>70</v>
      </c>
      <c r="F66" s="8"/>
      <c r="G66" s="10"/>
      <c r="H66" s="10"/>
      <c r="I66" s="39"/>
    </row>
    <row r="67" spans="1:10" ht="18" customHeight="1" thickBot="1" x14ac:dyDescent="0.3">
      <c r="A67" s="67" t="s">
        <v>155</v>
      </c>
      <c r="B67" s="322">
        <f>MAX(IF(C5/C41&lt;0.5, Iout*SQRT(C5/C41*(1-C5/C41)),Iout*SQRT(0.5*(1-0.5))),IF(Vin_min&lt;=Vin_mode,Iout/(1-MAX(0,1-Vin_min*1.844/RNG))*SQRT(C5*1.844/RNG*(1-C5*1.844/RNG)),0))</f>
        <v>1.1239331962281163</v>
      </c>
      <c r="C67" s="68"/>
      <c r="D67" s="68" t="s">
        <v>66</v>
      </c>
      <c r="E67" s="42" t="s">
        <v>43</v>
      </c>
      <c r="F67" s="41"/>
      <c r="G67" s="43"/>
      <c r="H67" s="43"/>
      <c r="I67" s="44"/>
    </row>
    <row r="68" spans="1:10" ht="18" customHeight="1" x14ac:dyDescent="0.25">
      <c r="A68" s="330" t="s">
        <v>122</v>
      </c>
      <c r="B68" s="331"/>
      <c r="C68" s="331"/>
      <c r="D68" s="331"/>
      <c r="E68" s="331"/>
      <c r="F68" s="331"/>
      <c r="G68" s="331"/>
      <c r="H68" s="331"/>
      <c r="I68" s="332"/>
    </row>
    <row r="69" spans="1:10" ht="18" customHeight="1" thickBot="1" x14ac:dyDescent="0.3">
      <c r="A69" s="159" t="s">
        <v>53</v>
      </c>
      <c r="B69" s="321">
        <f>1000000000*Constants!C27/1000000*C12/1000/Constants!C3</f>
        <v>25</v>
      </c>
      <c r="C69" s="201"/>
      <c r="D69" s="201" t="s">
        <v>17</v>
      </c>
      <c r="E69" s="13" t="s">
        <v>59</v>
      </c>
      <c r="F69" s="8"/>
      <c r="G69" s="10"/>
      <c r="H69" s="10"/>
      <c r="I69" s="39"/>
    </row>
    <row r="70" spans="1:10" ht="18" customHeight="1" thickBot="1" x14ac:dyDescent="0.3">
      <c r="A70" s="84" t="s">
        <v>58</v>
      </c>
      <c r="B70" s="208">
        <v>22</v>
      </c>
      <c r="C70" s="205"/>
      <c r="D70" s="205" t="s">
        <v>17</v>
      </c>
      <c r="E70" s="13" t="s">
        <v>126</v>
      </c>
      <c r="F70" s="8"/>
      <c r="G70" s="10"/>
      <c r="H70" s="10"/>
      <c r="I70" s="39"/>
    </row>
    <row r="71" spans="1:10" ht="18" customHeight="1" x14ac:dyDescent="0.25">
      <c r="A71" s="159" t="s">
        <v>55</v>
      </c>
      <c r="B71" s="321">
        <f>1000*IF(ISBLANK(B70),B69,B70)/1000000000*Constants!C3/(Constants!C27/1000000)</f>
        <v>1.76</v>
      </c>
      <c r="C71" s="201"/>
      <c r="D71" s="201" t="s">
        <v>36</v>
      </c>
      <c r="E71" s="13" t="s">
        <v>57</v>
      </c>
      <c r="F71" s="8"/>
      <c r="G71" s="10"/>
      <c r="H71" s="10"/>
      <c r="I71" s="39"/>
      <c r="J71" s="445"/>
    </row>
    <row r="72" spans="1:10" ht="18" customHeight="1" thickBot="1" x14ac:dyDescent="0.3">
      <c r="A72" s="67" t="s">
        <v>56</v>
      </c>
      <c r="B72" s="322">
        <f>1000*IF(ISBLANK(B70),B69,B70)/1000000000*Constants!C28/1000/(Constants!C27/1000000)</f>
        <v>0.88</v>
      </c>
      <c r="C72" s="68"/>
      <c r="D72" s="68" t="s">
        <v>36</v>
      </c>
      <c r="E72" s="42" t="s">
        <v>71</v>
      </c>
      <c r="F72" s="41"/>
      <c r="G72" s="43"/>
      <c r="H72" s="43"/>
      <c r="I72" s="44"/>
      <c r="J72" s="444"/>
    </row>
    <row r="73" spans="1:10" ht="18" customHeight="1" x14ac:dyDescent="0.25">
      <c r="A73" s="330" t="s">
        <v>227</v>
      </c>
      <c r="B73" s="331"/>
      <c r="C73" s="331"/>
      <c r="D73" s="331"/>
      <c r="E73" s="331"/>
      <c r="F73" s="331"/>
      <c r="G73" s="331"/>
      <c r="H73" s="331"/>
      <c r="I73" s="332"/>
      <c r="J73" s="429"/>
    </row>
    <row r="74" spans="1:10" ht="18" customHeight="1" thickBot="1" x14ac:dyDescent="0.3">
      <c r="A74" s="159" t="s">
        <v>68</v>
      </c>
      <c r="B74" s="356">
        <f>1000*IF(ISBLANK(B46),1,B46)/11</f>
        <v>36.363636363636367</v>
      </c>
      <c r="C74" s="356"/>
      <c r="D74" s="201" t="s">
        <v>272</v>
      </c>
      <c r="E74" s="203" t="s">
        <v>228</v>
      </c>
      <c r="F74" s="10"/>
      <c r="G74" s="10"/>
      <c r="H74" s="10"/>
      <c r="I74" s="39"/>
      <c r="J74" s="429"/>
    </row>
    <row r="75" spans="1:10" ht="18" customHeight="1" thickBot="1" x14ac:dyDescent="0.3">
      <c r="A75" s="159" t="s">
        <v>42</v>
      </c>
      <c r="B75" s="357">
        <v>36</v>
      </c>
      <c r="C75" s="358"/>
      <c r="D75" s="201" t="s">
        <v>272</v>
      </c>
      <c r="E75" s="203" t="s">
        <v>233</v>
      </c>
      <c r="F75" s="10"/>
      <c r="G75" s="10"/>
      <c r="H75" s="10"/>
      <c r="I75" s="39"/>
      <c r="J75" s="429"/>
    </row>
    <row r="76" spans="1:10" ht="18" customHeight="1" x14ac:dyDescent="0.25">
      <c r="A76" s="159" t="s">
        <v>79</v>
      </c>
      <c r="B76" s="324">
        <f>Vout_typ/Iout</f>
        <v>11.988811188811191</v>
      </c>
      <c r="C76" s="324"/>
      <c r="D76" s="209" t="s">
        <v>72</v>
      </c>
      <c r="E76" s="74" t="s">
        <v>273</v>
      </c>
      <c r="F76" s="10"/>
      <c r="G76" s="10"/>
      <c r="H76" s="10"/>
      <c r="I76" s="39"/>
      <c r="J76" s="444"/>
    </row>
    <row r="77" spans="1:10" ht="18" customHeight="1" x14ac:dyDescent="0.25">
      <c r="A77" s="159" t="s">
        <v>73</v>
      </c>
      <c r="B77" s="333">
        <f>1/(6.28*B76*B61/1000000)/1000</f>
        <v>0.82779723781381709</v>
      </c>
      <c r="C77" s="333"/>
      <c r="D77" s="209" t="s">
        <v>272</v>
      </c>
      <c r="E77" s="203" t="s">
        <v>229</v>
      </c>
      <c r="F77" s="10"/>
      <c r="G77" s="10"/>
      <c r="H77" s="10"/>
      <c r="I77" s="39"/>
    </row>
    <row r="78" spans="1:10" ht="18" customHeight="1" x14ac:dyDescent="0.25">
      <c r="A78" s="159" t="s">
        <v>74</v>
      </c>
      <c r="B78" s="324">
        <f>1/(6.28*Constants!B42/(IF(ISBLANK(B60),B59,B60))/1000*B61/1000000)/1000</f>
        <v>4962.1523933846447</v>
      </c>
      <c r="C78" s="324"/>
      <c r="D78" s="209" t="s">
        <v>272</v>
      </c>
      <c r="E78" s="203" t="s">
        <v>80</v>
      </c>
      <c r="F78" s="10"/>
      <c r="G78" s="10"/>
      <c r="H78" s="10"/>
      <c r="I78" s="39"/>
    </row>
    <row r="79" spans="1:10" ht="18" customHeight="1" thickBot="1" x14ac:dyDescent="0.3">
      <c r="A79" s="159" t="s">
        <v>14</v>
      </c>
      <c r="B79" s="324">
        <f>IF(ISBLANK(B75),B74,B75)*1000*(C5/Constants!C3)*((6.28*B61/1000000)/(Constants!C13*Constants!C11/1000000))/1000</f>
        <v>15.435992006808508</v>
      </c>
      <c r="C79" s="324"/>
      <c r="D79" s="243" t="s">
        <v>251</v>
      </c>
      <c r="E79" s="203" t="s">
        <v>234</v>
      </c>
      <c r="F79" s="10"/>
      <c r="G79" s="10"/>
      <c r="H79" s="10"/>
      <c r="I79" s="39"/>
    </row>
    <row r="80" spans="1:10" ht="18" customHeight="1" thickBot="1" x14ac:dyDescent="0.3">
      <c r="A80" s="84" t="s">
        <v>77</v>
      </c>
      <c r="B80" s="325">
        <v>15.4</v>
      </c>
      <c r="C80" s="326"/>
      <c r="D80" s="231" t="s">
        <v>251</v>
      </c>
      <c r="E80" s="203" t="s">
        <v>235</v>
      </c>
      <c r="F80" s="10"/>
      <c r="G80" s="10"/>
      <c r="H80" s="10"/>
      <c r="I80" s="39"/>
    </row>
    <row r="81" spans="1:9" ht="27" customHeight="1" x14ac:dyDescent="0.25">
      <c r="A81" s="84" t="s">
        <v>232</v>
      </c>
      <c r="B81" s="85">
        <f>4*1000000000/(6.28*IF(ISBLANK(B80),B79,B80)*1000*IF(ISBLANK(B75),B74,B75)*1000)</f>
        <v>1.1488864992049705</v>
      </c>
      <c r="C81" s="85">
        <f>1000000000/(6.28*IF(ISBLANK(B80),B79,B80)*1000*1.5*B77*1000)</f>
        <v>8.3273036926709647</v>
      </c>
      <c r="D81" s="205" t="s">
        <v>17</v>
      </c>
      <c r="E81" s="371" t="s">
        <v>300</v>
      </c>
      <c r="F81" s="372"/>
      <c r="G81" s="372"/>
      <c r="H81" s="372"/>
      <c r="I81" s="287"/>
    </row>
    <row r="82" spans="1:9" ht="15.75" thickBot="1" x14ac:dyDescent="0.3">
      <c r="A82" s="210" t="s">
        <v>15</v>
      </c>
      <c r="B82" s="355">
        <f>IF(B78&gt;10*IF(ISBLANK(B75),B74,B75), MIN(1000000000000/(6.28*IF(ISBLANK(B80),B79,B80)*1000*7.5*IF(ISBLANK(B75),B74,B75)*1000),1000000000000/(6.28*IF(ISBLANK(B80),B79,B80)*1000*B46*1000000/2)),
1000000000000/(6.28*IF(ISBLANK(B80),B79,B80)*1000*B78*1000))</f>
        <v>38.296216640165682</v>
      </c>
      <c r="C82" s="355"/>
      <c r="D82" s="211" t="s">
        <v>18</v>
      </c>
      <c r="E82" s="212" t="s">
        <v>231</v>
      </c>
      <c r="F82" s="43"/>
      <c r="G82" s="43"/>
      <c r="H82" s="43"/>
      <c r="I82" s="44"/>
    </row>
    <row r="83" spans="1:9" x14ac:dyDescent="0.25">
      <c r="B83" s="308"/>
      <c r="C83" s="431"/>
    </row>
    <row r="84" spans="1:9" x14ac:dyDescent="0.25">
      <c r="B84" s="432"/>
      <c r="C84" s="433"/>
    </row>
    <row r="103" spans="1:9" x14ac:dyDescent="0.25">
      <c r="A103" s="434"/>
      <c r="B103" s="434"/>
      <c r="C103" s="434"/>
      <c r="D103" s="434"/>
      <c r="E103" s="434"/>
      <c r="F103" s="434"/>
      <c r="G103" s="434"/>
      <c r="H103" s="434"/>
      <c r="I103" s="434"/>
    </row>
  </sheetData>
  <sheetProtection algorithmName="SHA-512" hashValue="KzNKio1WujPihUHS1Dvqrjl6ewC0nnBeifwlRBihRSAqYiVmIuarscUhpdSA7LBH9FqtVDcra0hz0CcE91cZcw==" saltValue="8O72r5L905p0ciSOqn35AA==" spinCount="100000" sheet="1" objects="1" scenarios="1" selectLockedCells="1"/>
  <mergeCells count="62">
    <mergeCell ref="A1:I1"/>
    <mergeCell ref="A65:I65"/>
    <mergeCell ref="A68:I68"/>
    <mergeCell ref="A73:I73"/>
    <mergeCell ref="A35:I35"/>
    <mergeCell ref="F12:I12"/>
    <mergeCell ref="F14:I14"/>
    <mergeCell ref="A29:I29"/>
    <mergeCell ref="A45:I45"/>
    <mergeCell ref="A48:I48"/>
    <mergeCell ref="A57:I57"/>
    <mergeCell ref="D28:I28"/>
    <mergeCell ref="F13:I13"/>
    <mergeCell ref="A27:I27"/>
    <mergeCell ref="A2:I2"/>
    <mergeCell ref="B22:C22"/>
    <mergeCell ref="A103:I103"/>
    <mergeCell ref="A18:C18"/>
    <mergeCell ref="E18:I18"/>
    <mergeCell ref="E22:I22"/>
    <mergeCell ref="E21:I21"/>
    <mergeCell ref="E20:I20"/>
    <mergeCell ref="E19:I19"/>
    <mergeCell ref="B23:C23"/>
    <mergeCell ref="B30:C30"/>
    <mergeCell ref="B31:C31"/>
    <mergeCell ref="B32:C32"/>
    <mergeCell ref="B33:C33"/>
    <mergeCell ref="B55:C55"/>
    <mergeCell ref="B56:C56"/>
    <mergeCell ref="B54:C54"/>
    <mergeCell ref="E81:H81"/>
    <mergeCell ref="F3:I3"/>
    <mergeCell ref="F4:I4"/>
    <mergeCell ref="F5:I5"/>
    <mergeCell ref="F7:I7"/>
    <mergeCell ref="B82:C82"/>
    <mergeCell ref="B74:C74"/>
    <mergeCell ref="B75:C75"/>
    <mergeCell ref="B76:C76"/>
    <mergeCell ref="B77:C77"/>
    <mergeCell ref="B78:C78"/>
    <mergeCell ref="F6:I6"/>
    <mergeCell ref="B50:C50"/>
    <mergeCell ref="B51:C51"/>
    <mergeCell ref="B52:C52"/>
    <mergeCell ref="B53:C53"/>
    <mergeCell ref="F8:I8"/>
    <mergeCell ref="B79:C79"/>
    <mergeCell ref="B80:C80"/>
    <mergeCell ref="F9:I9"/>
    <mergeCell ref="F10:I10"/>
    <mergeCell ref="F11:I11"/>
    <mergeCell ref="A38:I38"/>
    <mergeCell ref="B49:C49"/>
    <mergeCell ref="B24:C24"/>
    <mergeCell ref="B26:C26"/>
    <mergeCell ref="E44:I44"/>
    <mergeCell ref="A15:C15"/>
    <mergeCell ref="A25:C25"/>
    <mergeCell ref="E25:I25"/>
    <mergeCell ref="E42:I42"/>
  </mergeCells>
  <conditionalFormatting sqref="B55:C55">
    <cfRule type="cellIs" dxfId="17" priority="3" operator="lessThan">
      <formula>0</formula>
    </cfRule>
  </conditionalFormatting>
  <conditionalFormatting sqref="U43:FE43">
    <cfRule type="cellIs" dxfId="16" priority="4" operator="greaterThanOrEqual">
      <formula>150</formula>
    </cfRule>
  </conditionalFormatting>
  <conditionalFormatting sqref="B56:C56">
    <cfRule type="cellIs" dxfId="15" priority="2" operator="lessThan">
      <formula>0</formula>
    </cfRule>
  </conditionalFormatting>
  <conditionalFormatting sqref="C44">
    <cfRule type="cellIs" dxfId="14" priority="1" operator="notBetween">
      <formula>$B$44</formula>
      <formula>$D$44</formula>
    </cfRule>
  </conditionalFormatting>
  <printOptions horizontalCentered="1"/>
  <pageMargins left="0.7" right="0.7" top="0.75" bottom="0.75" header="0.3" footer="0.3"/>
  <pageSetup scale="73" fitToHeight="2"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K33"/>
  <sheetViews>
    <sheetView workbookViewId="0">
      <selection activeCell="C8" sqref="C8"/>
    </sheetView>
  </sheetViews>
  <sheetFormatPr defaultRowHeight="15" x14ac:dyDescent="0.25"/>
  <cols>
    <col min="1" max="1" width="20.7109375" customWidth="1"/>
    <col min="2" max="4" width="12.7109375" customWidth="1"/>
    <col min="5" max="6" width="15.7109375" customWidth="1"/>
  </cols>
  <sheetData>
    <row r="1" spans="1:11" ht="24" customHeight="1" thickBot="1" x14ac:dyDescent="0.3">
      <c r="A1" s="373" t="s">
        <v>274</v>
      </c>
      <c r="B1" s="374"/>
      <c r="C1" s="374"/>
      <c r="D1" s="374"/>
      <c r="E1" s="374"/>
      <c r="F1" s="374"/>
      <c r="G1" s="374"/>
      <c r="H1" s="374"/>
      <c r="I1" s="375"/>
    </row>
    <row r="2" spans="1:11" ht="24" customHeight="1" thickBot="1" x14ac:dyDescent="0.3">
      <c r="A2" s="394" t="s">
        <v>139</v>
      </c>
      <c r="B2" s="395"/>
      <c r="C2" s="395"/>
      <c r="D2" s="395"/>
      <c r="E2" s="395"/>
      <c r="F2" s="395"/>
      <c r="G2" s="395"/>
      <c r="H2" s="395"/>
      <c r="I2" s="396"/>
    </row>
    <row r="3" spans="1:11" ht="19.5" thickBot="1" x14ac:dyDescent="0.35">
      <c r="A3" s="77" t="s">
        <v>117</v>
      </c>
      <c r="B3" s="34" t="s">
        <v>30</v>
      </c>
      <c r="C3" s="33" t="s">
        <v>31</v>
      </c>
      <c r="D3" s="34" t="s">
        <v>32</v>
      </c>
      <c r="E3" s="34" t="s">
        <v>33</v>
      </c>
      <c r="F3" s="349" t="s">
        <v>35</v>
      </c>
      <c r="G3" s="350"/>
      <c r="H3" s="350"/>
      <c r="I3" s="351"/>
    </row>
    <row r="4" spans="1:11" ht="18.75" thickBot="1" x14ac:dyDescent="0.4">
      <c r="A4" s="35" t="s">
        <v>176</v>
      </c>
      <c r="B4" s="16" t="s">
        <v>21</v>
      </c>
      <c r="C4" s="14">
        <v>150</v>
      </c>
      <c r="D4" s="153" t="s">
        <v>21</v>
      </c>
      <c r="E4" s="101" t="s">
        <v>16</v>
      </c>
      <c r="F4" s="402" t="s">
        <v>174</v>
      </c>
      <c r="G4" s="403"/>
      <c r="H4" s="403"/>
      <c r="I4" s="404"/>
    </row>
    <row r="5" spans="1:11" ht="18.75" thickBot="1" x14ac:dyDescent="0.4">
      <c r="A5" s="35" t="s">
        <v>179</v>
      </c>
      <c r="B5" s="6" t="s">
        <v>21</v>
      </c>
      <c r="C5" s="247">
        <f>1000000000/(C4*1000000)</f>
        <v>6.666666666666667</v>
      </c>
      <c r="D5" s="6" t="s">
        <v>21</v>
      </c>
      <c r="E5" s="101" t="s">
        <v>4</v>
      </c>
      <c r="F5" s="109" t="s">
        <v>178</v>
      </c>
      <c r="G5" s="110"/>
      <c r="H5" s="110"/>
      <c r="I5" s="111"/>
    </row>
    <row r="6" spans="1:11" ht="18.75" thickBot="1" x14ac:dyDescent="0.3">
      <c r="A6" s="103" t="s">
        <v>173</v>
      </c>
      <c r="B6" s="51" t="s">
        <v>21</v>
      </c>
      <c r="C6" s="52">
        <v>250</v>
      </c>
      <c r="D6" s="146" t="s">
        <v>21</v>
      </c>
      <c r="E6" s="54" t="s">
        <v>18</v>
      </c>
      <c r="F6" s="327" t="s">
        <v>275</v>
      </c>
      <c r="G6" s="328"/>
      <c r="H6" s="328"/>
      <c r="I6" s="329"/>
    </row>
    <row r="7" spans="1:11" s="186" customFormat="1" ht="18.75" customHeight="1" thickBot="1" x14ac:dyDescent="0.3">
      <c r="A7" s="103" t="s">
        <v>187</v>
      </c>
      <c r="B7" s="51" t="s">
        <v>21</v>
      </c>
      <c r="C7" s="52">
        <v>70</v>
      </c>
      <c r="D7" s="146" t="s">
        <v>21</v>
      </c>
      <c r="E7" s="54" t="s">
        <v>18</v>
      </c>
      <c r="F7" s="405" t="s">
        <v>188</v>
      </c>
      <c r="G7" s="406"/>
      <c r="H7" s="406"/>
      <c r="I7" s="407"/>
    </row>
    <row r="8" spans="1:11" ht="18.75" thickBot="1" x14ac:dyDescent="0.3">
      <c r="A8" s="113" t="s">
        <v>185</v>
      </c>
      <c r="B8" s="114" t="s">
        <v>21</v>
      </c>
      <c r="C8" s="168">
        <v>1.5</v>
      </c>
      <c r="D8" s="147" t="s">
        <v>21</v>
      </c>
      <c r="E8" s="102" t="s">
        <v>194</v>
      </c>
      <c r="F8" s="379" t="s">
        <v>184</v>
      </c>
      <c r="G8" s="380"/>
      <c r="H8" s="380"/>
      <c r="I8" s="381"/>
    </row>
    <row r="9" spans="1:11" ht="32.1" customHeight="1" thickBot="1" x14ac:dyDescent="0.3">
      <c r="A9" s="399" t="s">
        <v>156</v>
      </c>
      <c r="B9" s="400"/>
      <c r="C9" s="400"/>
      <c r="D9" s="400"/>
      <c r="E9" s="400"/>
      <c r="F9" s="400"/>
      <c r="G9" s="400"/>
      <c r="H9" s="400"/>
      <c r="I9" s="401"/>
    </row>
    <row r="10" spans="1:11" ht="18" customHeight="1" x14ac:dyDescent="0.25">
      <c r="A10" s="100" t="s">
        <v>29</v>
      </c>
      <c r="B10" s="78" t="s">
        <v>28</v>
      </c>
      <c r="C10" s="78" t="s">
        <v>33</v>
      </c>
      <c r="D10" s="385" t="s">
        <v>35</v>
      </c>
      <c r="E10" s="386"/>
      <c r="F10" s="386"/>
      <c r="G10" s="386"/>
      <c r="H10" s="386"/>
      <c r="I10" s="387"/>
    </row>
    <row r="11" spans="1:11" ht="15.75" x14ac:dyDescent="0.25">
      <c r="A11" s="382" t="s">
        <v>172</v>
      </c>
      <c r="B11" s="383"/>
      <c r="C11" s="383"/>
      <c r="D11" s="383"/>
      <c r="E11" s="383"/>
      <c r="F11" s="383"/>
      <c r="G11" s="383"/>
      <c r="H11" s="383"/>
      <c r="I11" s="384"/>
    </row>
    <row r="12" spans="1:11" ht="18" x14ac:dyDescent="0.35">
      <c r="A12" s="38" t="s">
        <v>175</v>
      </c>
      <c r="B12" s="9">
        <f>1000000000*(C5/1000000000)^2/(4*3.14^2*(C6/1000000000000+C7/1000000000000))</f>
        <v>3.5216664187413498</v>
      </c>
      <c r="C12" s="8" t="s">
        <v>27</v>
      </c>
      <c r="D12" s="12" t="s">
        <v>183</v>
      </c>
      <c r="E12" s="8"/>
      <c r="F12" s="10"/>
      <c r="G12" s="10"/>
      <c r="H12" s="10"/>
      <c r="I12" s="39"/>
    </row>
    <row r="13" spans="1:11" ht="18.75" thickBot="1" x14ac:dyDescent="0.4">
      <c r="A13" s="38" t="s">
        <v>209</v>
      </c>
      <c r="B13" s="277">
        <f>SQRT(B12*0.000000001/(C6*0.000000000001+C7*0.000000000001))</f>
        <v>3.317409766454352</v>
      </c>
      <c r="C13" s="149" t="s">
        <v>72</v>
      </c>
      <c r="D13" s="12" t="s">
        <v>181</v>
      </c>
      <c r="E13" s="86"/>
      <c r="F13" s="87"/>
      <c r="G13" s="87"/>
      <c r="H13" s="87"/>
      <c r="I13" s="88"/>
    </row>
    <row r="14" spans="1:11" ht="18.75" thickBot="1" x14ac:dyDescent="0.4">
      <c r="A14" s="81" t="s">
        <v>212</v>
      </c>
      <c r="B14" s="152">
        <v>2.7</v>
      </c>
      <c r="C14" s="83" t="s">
        <v>72</v>
      </c>
      <c r="D14" s="12" t="s">
        <v>211</v>
      </c>
      <c r="E14" s="86"/>
      <c r="F14" s="87"/>
      <c r="G14" s="87"/>
      <c r="H14" s="87"/>
      <c r="I14" s="88"/>
    </row>
    <row r="15" spans="1:11" ht="18.75" thickBot="1" x14ac:dyDescent="0.4">
      <c r="A15" s="38" t="s">
        <v>210</v>
      </c>
      <c r="B15" s="150">
        <f>1000000000000/C8*(C5/1000000000)/B14</f>
        <v>1646.0905349794236</v>
      </c>
      <c r="C15" s="151" t="s">
        <v>18</v>
      </c>
      <c r="D15" s="12" t="s">
        <v>182</v>
      </c>
      <c r="E15" s="8"/>
      <c r="F15" s="10"/>
      <c r="G15" s="10"/>
      <c r="H15" s="10"/>
      <c r="I15" s="39"/>
    </row>
    <row r="16" spans="1:11" ht="18.75" thickBot="1" x14ac:dyDescent="0.4">
      <c r="A16" s="81" t="s">
        <v>213</v>
      </c>
      <c r="B16" s="169">
        <v>2200</v>
      </c>
      <c r="C16" s="82" t="s">
        <v>18</v>
      </c>
      <c r="D16" s="12" t="s">
        <v>222</v>
      </c>
      <c r="E16" s="8"/>
      <c r="F16" s="10"/>
      <c r="G16" s="10"/>
      <c r="H16" s="10"/>
      <c r="I16" s="39"/>
      <c r="K16" s="4" t="s">
        <v>241</v>
      </c>
    </row>
    <row r="17" spans="1:9" ht="18.75" thickBot="1" x14ac:dyDescent="0.4">
      <c r="A17" s="106" t="s">
        <v>177</v>
      </c>
      <c r="B17" s="112">
        <f>1000*0.5*B16/1000000000000*Design!D4^2*IF(ISBLANK(Design!B46),1,Design!B46)*1000000</f>
        <v>570.24000000000012</v>
      </c>
      <c r="C17" s="107" t="s">
        <v>180</v>
      </c>
      <c r="D17" s="108" t="s">
        <v>186</v>
      </c>
      <c r="E17" s="104"/>
      <c r="F17" s="104"/>
      <c r="G17" s="104"/>
      <c r="H17" s="104"/>
      <c r="I17" s="105"/>
    </row>
    <row r="33" spans="3:3" x14ac:dyDescent="0.25">
      <c r="C33" s="4" t="s">
        <v>193</v>
      </c>
    </row>
  </sheetData>
  <sheetProtection algorithmName="SHA-512" hashValue="rXkDJUc/iFd/khPAtOSYbLy3fUmqFwrNj4SUJhjvbY0Vn1joX2FLzWV0kFjuiikWceJ27Q0ce5AtDMVxOH09/A==" saltValue="S6dJZVlfVZ/H8dnq8Iwl5w==" spinCount="100000" sheet="1" objects="1" scenarios="1" selectLockedCells="1"/>
  <mergeCells count="10">
    <mergeCell ref="A1:I1"/>
    <mergeCell ref="F8:I8"/>
    <mergeCell ref="A9:I9"/>
    <mergeCell ref="D10:I10"/>
    <mergeCell ref="A11:I11"/>
    <mergeCell ref="A2:I2"/>
    <mergeCell ref="F3:I3"/>
    <mergeCell ref="F4:I4"/>
    <mergeCell ref="F6:I6"/>
    <mergeCell ref="F7:I7"/>
  </mergeCells>
  <printOptions horizontalCentered="1"/>
  <pageMargins left="0.7" right="0.7" top="0.75" bottom="0.75" header="0.3" footer="0.3"/>
  <pageSetup scale="77" fitToHeight="2" orientation="portrait" horizontalDpi="4294967293" r:id="rId1"/>
  <ignoredErrors>
    <ignoredError sqref="C5 B13" unlockedFormula="1"/>
  </ignoredErrors>
  <drawing r:id="rId2"/>
  <legacyDrawing r:id="rId3"/>
  <oleObjects>
    <mc:AlternateContent xmlns:mc="http://schemas.openxmlformats.org/markup-compatibility/2006">
      <mc:Choice Requires="x14">
        <oleObject progId="Visio.Drawing.11" shapeId="2049" r:id="rId4">
          <objectPr defaultSize="0" autoPict="0" r:id="rId5">
            <anchor moveWithCells="1">
              <from>
                <xdr:col>6</xdr:col>
                <xdr:colOff>609600</xdr:colOff>
                <xdr:row>22</xdr:row>
                <xdr:rowOff>0</xdr:rowOff>
              </from>
              <to>
                <xdr:col>8</xdr:col>
                <xdr:colOff>514350</xdr:colOff>
                <xdr:row>27</xdr:row>
                <xdr:rowOff>9525</xdr:rowOff>
              </to>
            </anchor>
          </objectPr>
        </oleObject>
      </mc:Choice>
      <mc:Fallback>
        <oleObject progId="Visio.Drawing.11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CJ83"/>
  <sheetViews>
    <sheetView zoomScaleNormal="100" workbookViewId="0">
      <selection activeCell="C2" sqref="C2"/>
    </sheetView>
  </sheetViews>
  <sheetFormatPr defaultRowHeight="15" x14ac:dyDescent="0.25"/>
  <cols>
    <col min="1" max="2" width="6.7109375" style="1" customWidth="1"/>
    <col min="3" max="3" width="7.5703125" style="1" customWidth="1"/>
    <col min="4" max="4" width="9.28515625" style="1" customWidth="1"/>
    <col min="5" max="5" width="7.85546875" style="1" customWidth="1"/>
    <col min="6" max="6" width="6.7109375" style="1" customWidth="1"/>
    <col min="7" max="7" width="7.7109375" style="1" hidden="1" customWidth="1"/>
    <col min="8" max="8" width="8.42578125" style="1" hidden="1" customWidth="1"/>
    <col min="9" max="10" width="6.7109375" style="1" hidden="1" customWidth="1"/>
    <col min="11" max="12" width="6.7109375" style="1" customWidth="1"/>
    <col min="13" max="13" width="6.7109375" style="122" customWidth="1"/>
    <col min="14" max="14" width="9" style="122" customWidth="1"/>
    <col min="15" max="15" width="6.28515625" style="122" customWidth="1"/>
    <col min="16" max="16" width="8.7109375" style="122" customWidth="1"/>
    <col min="17" max="29" width="6.7109375" style="122" customWidth="1"/>
    <col min="30" max="32" width="6.7109375" customWidth="1"/>
    <col min="33" max="33" width="7.7109375" customWidth="1"/>
    <col min="34" max="34" width="7.5703125" customWidth="1"/>
    <col min="35" max="35" width="6.7109375" customWidth="1"/>
    <col min="36" max="36" width="7.5703125" hidden="1" customWidth="1"/>
    <col min="37" max="37" width="7.42578125" hidden="1" customWidth="1"/>
    <col min="38" max="39" width="6.7109375" hidden="1" customWidth="1"/>
    <col min="40" max="61" width="6.7109375" customWidth="1"/>
    <col min="62" max="63" width="8.85546875" customWidth="1"/>
    <col min="64" max="64" width="6.7109375" customWidth="1"/>
    <col min="65" max="65" width="8.140625" hidden="1" customWidth="1"/>
    <col min="66" max="66" width="8.28515625" hidden="1" customWidth="1"/>
    <col min="67" max="68" width="6.7109375" hidden="1" customWidth="1"/>
    <col min="69" max="88" width="6.7109375" customWidth="1"/>
  </cols>
  <sheetData>
    <row r="1" spans="1:88" ht="24" customHeight="1" thickBot="1" x14ac:dyDescent="0.3">
      <c r="A1" s="408" t="s">
        <v>150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  <c r="AI1" s="409"/>
      <c r="AJ1" s="409"/>
      <c r="AK1" s="409"/>
      <c r="AL1" s="409"/>
      <c r="AM1" s="409"/>
      <c r="AN1" s="409"/>
      <c r="AO1" s="409"/>
      <c r="AP1" s="409"/>
      <c r="AQ1" s="409"/>
      <c r="AR1" s="409"/>
      <c r="AS1" s="409"/>
      <c r="AT1" s="409"/>
      <c r="AU1" s="409"/>
      <c r="AV1" s="409"/>
      <c r="AW1" s="409"/>
      <c r="AX1" s="409"/>
      <c r="AY1" s="409"/>
      <c r="AZ1" s="409"/>
      <c r="BA1" s="409"/>
      <c r="BB1" s="409"/>
      <c r="BC1" s="409"/>
      <c r="BD1" s="409"/>
      <c r="BE1" s="409"/>
      <c r="BF1" s="409"/>
      <c r="BG1" s="409"/>
      <c r="BH1" s="409"/>
      <c r="BI1" s="409"/>
      <c r="BJ1" s="409"/>
      <c r="BK1" s="409"/>
      <c r="BL1" s="409"/>
      <c r="BM1" s="409"/>
      <c r="BN1" s="409"/>
      <c r="BO1" s="409"/>
      <c r="BP1" s="409"/>
      <c r="BQ1" s="409"/>
      <c r="BR1" s="409"/>
      <c r="BS1" s="409"/>
      <c r="BT1" s="409"/>
      <c r="BU1" s="409"/>
      <c r="BV1" s="409"/>
      <c r="BW1" s="409"/>
      <c r="BX1" s="409"/>
      <c r="BY1" s="409"/>
      <c r="BZ1" s="409"/>
      <c r="CA1" s="409"/>
      <c r="CB1" s="409"/>
      <c r="CC1" s="409"/>
      <c r="CD1" s="409"/>
      <c r="CE1" s="409"/>
      <c r="CF1" s="409"/>
      <c r="CG1" s="409"/>
      <c r="CH1" s="409"/>
      <c r="CI1" s="409"/>
      <c r="CJ1" s="410"/>
    </row>
    <row r="2" spans="1:88" s="138" customFormat="1" ht="18" customHeight="1" thickBot="1" x14ac:dyDescent="0.3">
      <c r="A2" s="141"/>
      <c r="B2" s="162" t="s">
        <v>215</v>
      </c>
      <c r="C2" s="278">
        <v>6</v>
      </c>
      <c r="D2" s="163"/>
      <c r="E2" s="163"/>
      <c r="F2" s="163"/>
      <c r="G2" s="163"/>
      <c r="H2" s="163"/>
      <c r="I2" s="163"/>
      <c r="J2" s="163"/>
      <c r="K2" s="163" t="s">
        <v>313</v>
      </c>
      <c r="L2" s="163"/>
      <c r="M2" s="163"/>
      <c r="N2" s="163" t="s">
        <v>280</v>
      </c>
      <c r="O2" s="163" t="s">
        <v>281</v>
      </c>
      <c r="P2" s="163" t="s">
        <v>280</v>
      </c>
      <c r="Q2" s="163" t="s">
        <v>281</v>
      </c>
      <c r="R2" s="163"/>
      <c r="S2" s="163"/>
      <c r="T2" s="163" t="s">
        <v>280</v>
      </c>
      <c r="U2" s="163" t="s">
        <v>281</v>
      </c>
      <c r="V2" s="163"/>
      <c r="W2" s="163"/>
      <c r="X2" s="163"/>
      <c r="Y2" s="163"/>
      <c r="Z2" s="163" t="s">
        <v>280</v>
      </c>
      <c r="AA2" s="163" t="s">
        <v>281</v>
      </c>
      <c r="AB2" s="163"/>
      <c r="AC2" s="163"/>
      <c r="AD2" s="164"/>
      <c r="AE2" s="162" t="s">
        <v>215</v>
      </c>
      <c r="AF2" s="278">
        <v>12</v>
      </c>
      <c r="AG2" s="163"/>
      <c r="AH2" s="163"/>
      <c r="AI2" s="163"/>
      <c r="AJ2" s="163"/>
      <c r="AK2" s="163"/>
      <c r="AL2" s="163"/>
      <c r="AM2" s="163"/>
      <c r="AN2" s="163" t="s">
        <v>313</v>
      </c>
      <c r="AO2" s="163"/>
      <c r="AP2" s="163"/>
      <c r="AQ2" s="163" t="s">
        <v>280</v>
      </c>
      <c r="AR2" s="163" t="s">
        <v>281</v>
      </c>
      <c r="AS2" s="163" t="s">
        <v>280</v>
      </c>
      <c r="AT2" s="163" t="s">
        <v>281</v>
      </c>
      <c r="AU2" s="163"/>
      <c r="AV2" s="163"/>
      <c r="AW2" s="163" t="s">
        <v>280</v>
      </c>
      <c r="AX2" s="163" t="s">
        <v>281</v>
      </c>
      <c r="AY2" s="163"/>
      <c r="AZ2" s="163"/>
      <c r="BA2" s="163"/>
      <c r="BB2" s="163"/>
      <c r="BC2" s="163" t="s">
        <v>280</v>
      </c>
      <c r="BD2" s="163" t="s">
        <v>281</v>
      </c>
      <c r="BE2" s="163"/>
      <c r="BF2" s="163"/>
      <c r="BG2" s="164"/>
      <c r="BH2" s="162" t="s">
        <v>215</v>
      </c>
      <c r="BI2" s="278">
        <v>20</v>
      </c>
      <c r="BJ2" s="163"/>
      <c r="BK2" s="163"/>
      <c r="BL2" s="163"/>
      <c r="BM2" s="163"/>
      <c r="BN2" s="163"/>
      <c r="BO2" s="163"/>
      <c r="BP2" s="163"/>
      <c r="BQ2" s="163" t="s">
        <v>313</v>
      </c>
      <c r="BR2" s="163"/>
      <c r="BS2" s="163"/>
      <c r="BT2" s="163" t="s">
        <v>280</v>
      </c>
      <c r="BU2" s="163" t="s">
        <v>281</v>
      </c>
      <c r="BV2" s="163" t="s">
        <v>280</v>
      </c>
      <c r="BW2" s="163" t="s">
        <v>281</v>
      </c>
      <c r="BX2" s="163"/>
      <c r="BY2" s="163"/>
      <c r="BZ2" s="163" t="s">
        <v>280</v>
      </c>
      <c r="CA2" s="163" t="s">
        <v>281</v>
      </c>
      <c r="CB2" s="163"/>
      <c r="CC2" s="163"/>
      <c r="CD2" s="163"/>
      <c r="CE2" s="163"/>
      <c r="CF2" s="163" t="s">
        <v>280</v>
      </c>
      <c r="CG2" s="163" t="s">
        <v>281</v>
      </c>
      <c r="CH2" s="163"/>
      <c r="CI2" s="163"/>
      <c r="CJ2" s="164"/>
    </row>
    <row r="3" spans="1:88" s="124" customFormat="1" thickBot="1" x14ac:dyDescent="0.3">
      <c r="A3" s="142" t="s">
        <v>171</v>
      </c>
      <c r="B3" s="139" t="s">
        <v>82</v>
      </c>
      <c r="C3" s="137">
        <v>6</v>
      </c>
      <c r="D3" s="132" t="s">
        <v>276</v>
      </c>
      <c r="E3" s="132" t="s">
        <v>277</v>
      </c>
      <c r="F3" s="132" t="s">
        <v>191</v>
      </c>
      <c r="G3" s="132" t="s">
        <v>315</v>
      </c>
      <c r="H3" s="132" t="s">
        <v>316</v>
      </c>
      <c r="I3" s="132" t="s">
        <v>311</v>
      </c>
      <c r="J3" s="132" t="s">
        <v>312</v>
      </c>
      <c r="K3" s="132" t="s">
        <v>314</v>
      </c>
      <c r="L3" s="132" t="s">
        <v>301</v>
      </c>
      <c r="M3" s="132" t="s">
        <v>278</v>
      </c>
      <c r="N3" s="132" t="s">
        <v>83</v>
      </c>
      <c r="O3" s="132" t="s">
        <v>83</v>
      </c>
      <c r="P3" s="132" t="s">
        <v>84</v>
      </c>
      <c r="Q3" s="132" t="s">
        <v>84</v>
      </c>
      <c r="R3" s="132" t="s">
        <v>162</v>
      </c>
      <c r="S3" s="132" t="s">
        <v>202</v>
      </c>
      <c r="T3" s="132" t="s">
        <v>203</v>
      </c>
      <c r="U3" s="132" t="s">
        <v>285</v>
      </c>
      <c r="V3" s="132" t="s">
        <v>303</v>
      </c>
      <c r="W3" s="132" t="s">
        <v>204</v>
      </c>
      <c r="X3" s="132" t="s">
        <v>214</v>
      </c>
      <c r="Y3" s="132" t="s">
        <v>217</v>
      </c>
      <c r="Z3" s="132" t="s">
        <v>97</v>
      </c>
      <c r="AA3" s="132" t="s">
        <v>97</v>
      </c>
      <c r="AB3" s="132" t="s">
        <v>279</v>
      </c>
      <c r="AC3" s="132" t="s">
        <v>205</v>
      </c>
      <c r="AD3" s="140" t="s">
        <v>198</v>
      </c>
      <c r="AE3" s="139" t="s">
        <v>82</v>
      </c>
      <c r="AF3" s="137" t="s">
        <v>192</v>
      </c>
      <c r="AG3" s="132" t="s">
        <v>276</v>
      </c>
      <c r="AH3" s="132" t="s">
        <v>277</v>
      </c>
      <c r="AI3" s="132" t="s">
        <v>191</v>
      </c>
      <c r="AJ3" s="132" t="s">
        <v>315</v>
      </c>
      <c r="AK3" s="132" t="s">
        <v>316</v>
      </c>
      <c r="AL3" s="132" t="s">
        <v>311</v>
      </c>
      <c r="AM3" s="132" t="s">
        <v>312</v>
      </c>
      <c r="AN3" s="132" t="s">
        <v>314</v>
      </c>
      <c r="AO3" s="132" t="s">
        <v>301</v>
      </c>
      <c r="AP3" s="132" t="s">
        <v>278</v>
      </c>
      <c r="AQ3" s="132" t="s">
        <v>83</v>
      </c>
      <c r="AR3" s="132" t="s">
        <v>83</v>
      </c>
      <c r="AS3" s="132" t="s">
        <v>84</v>
      </c>
      <c r="AT3" s="132" t="s">
        <v>84</v>
      </c>
      <c r="AU3" s="132" t="s">
        <v>162</v>
      </c>
      <c r="AV3" s="132" t="s">
        <v>202</v>
      </c>
      <c r="AW3" s="132" t="s">
        <v>203</v>
      </c>
      <c r="AX3" s="132" t="s">
        <v>285</v>
      </c>
      <c r="AY3" s="132" t="s">
        <v>303</v>
      </c>
      <c r="AZ3" s="132" t="s">
        <v>204</v>
      </c>
      <c r="BA3" s="132" t="s">
        <v>214</v>
      </c>
      <c r="BB3" s="132" t="s">
        <v>217</v>
      </c>
      <c r="BC3" s="132" t="s">
        <v>97</v>
      </c>
      <c r="BD3" s="132" t="s">
        <v>97</v>
      </c>
      <c r="BE3" s="132" t="s">
        <v>279</v>
      </c>
      <c r="BF3" s="132" t="s">
        <v>205</v>
      </c>
      <c r="BG3" s="140" t="s">
        <v>198</v>
      </c>
      <c r="BH3" s="139" t="s">
        <v>82</v>
      </c>
      <c r="BI3" s="137" t="s">
        <v>192</v>
      </c>
      <c r="BJ3" s="132" t="s">
        <v>276</v>
      </c>
      <c r="BK3" s="132" t="s">
        <v>277</v>
      </c>
      <c r="BL3" s="132" t="s">
        <v>191</v>
      </c>
      <c r="BM3" s="132" t="s">
        <v>315</v>
      </c>
      <c r="BN3" s="132" t="s">
        <v>316</v>
      </c>
      <c r="BO3" s="132" t="s">
        <v>311</v>
      </c>
      <c r="BP3" s="132" t="s">
        <v>312</v>
      </c>
      <c r="BQ3" s="132" t="s">
        <v>314</v>
      </c>
      <c r="BR3" s="132" t="s">
        <v>301</v>
      </c>
      <c r="BS3" s="132" t="s">
        <v>278</v>
      </c>
      <c r="BT3" s="132" t="s">
        <v>83</v>
      </c>
      <c r="BU3" s="132" t="s">
        <v>83</v>
      </c>
      <c r="BV3" s="132" t="s">
        <v>84</v>
      </c>
      <c r="BW3" s="132" t="s">
        <v>84</v>
      </c>
      <c r="BX3" s="132" t="s">
        <v>162</v>
      </c>
      <c r="BY3" s="132" t="s">
        <v>202</v>
      </c>
      <c r="BZ3" s="132" t="s">
        <v>203</v>
      </c>
      <c r="CA3" s="132" t="s">
        <v>285</v>
      </c>
      <c r="CB3" s="132" t="s">
        <v>303</v>
      </c>
      <c r="CC3" s="132" t="s">
        <v>204</v>
      </c>
      <c r="CD3" s="132" t="s">
        <v>214</v>
      </c>
      <c r="CE3" s="132" t="s">
        <v>217</v>
      </c>
      <c r="CF3" s="132" t="s">
        <v>97</v>
      </c>
      <c r="CG3" s="132" t="s">
        <v>97</v>
      </c>
      <c r="CH3" s="132" t="s">
        <v>279</v>
      </c>
      <c r="CI3" s="132" t="s">
        <v>205</v>
      </c>
      <c r="CJ3" s="140" t="s">
        <v>198</v>
      </c>
    </row>
    <row r="4" spans="1:88" s="96" customFormat="1" ht="12.75" customHeight="1" thickBot="1" x14ac:dyDescent="0.25">
      <c r="A4" s="125">
        <v>25</v>
      </c>
      <c r="B4" s="269">
        <f>Iout/10+0*Iout/10</f>
        <v>0.1</v>
      </c>
      <c r="C4" s="218">
        <f ca="1">FORECAST(B4, OFFSET(Design!$C$19:$C$21,MATCH(B4,Design!$B$19:$B$21,1)-1,0,2), OFFSET(Design!$B$19:$B$21,MATCH(B4,Design!$B$19:$B$21,1)-1,0,2))+(Y4-25)*Design!$B$22/1000</f>
        <v>0.32212153305773916</v>
      </c>
      <c r="D4" s="250">
        <f t="shared" ref="D4:D12" ca="1" si="0">IF($C$2&lt;=Vin_mode,((E4-1)*(Vout_typ+C4)-C4-(L4-F4/2)*(AA4*E4/1000+LoDCR/1000))/((L4-F4/2)*Z4/1000-$C$2-C4),IF(K4="DCM",(Vout_typ)/($C$2)*2*B4/L4,(Vout_typ+2*C4+(L4-F4/2)*LoDCR/1000)/($C$2+C4-(L4-F4/2)*Z4/1000)))</f>
        <v>0.8244755498803622</v>
      </c>
      <c r="E4" s="218">
        <f>MAX(0,(1-1.844*Efficiency!$C$2/RNG))</f>
        <v>0.60485714285714287</v>
      </c>
      <c r="F4" s="126">
        <f>IF($C$2&lt;=Vin_mode,MAX(Efficiency!$C$2*E4/(Fsw*Lo),(Efficiency!$C$2*E4/(Fsw*Lo)+(Efficiency!$C$2-Vout_typ)*(1.844*Vout_typ/RNG-E4)/(Fsw*Lo))),IF(K4="DCM",D4*($C$2-Vout_typ)/(Lo*IF($C$2&lt;=18,Fsw,1.5*Fsw-$C$2/36*Fsw)),D4*($C$2-(Vout_typ+1*C4)-(L4-F4/2)*(Z4+LoDCR)/1000)/(Lo*IF($C$2&lt;=18,Fsw,1.5*Fsw-$C$2/36*Fsw))))</f>
        <v>0.27493506493506492</v>
      </c>
      <c r="G4" s="126">
        <f t="shared" ref="G4:G13" ca="1" si="1">IF($C$2&lt;=Vin_mode,$C$2/(Lo*Fsw/E4+0.5*(Z4+AA4+LoDCR)/1000),0)</f>
        <v>0.27384259333282118</v>
      </c>
      <c r="H4" s="126">
        <f t="shared" ref="H4:H13" ca="1" si="2">(Vout_typ+2*C4)/(Lo*IF($C$2&lt;=18,Fsw,1.5*Fsw-$C$2/36*Fsw)/(1-I4)-0.5*LoDCR/1000)</f>
        <v>0.16854027229556456</v>
      </c>
      <c r="I4" s="218">
        <f t="shared" ref="I4:I13" ca="1" si="3">(E4*((Vout_typ+C4)-0.5*G4*AA4/1000+0.5*H4*(Z4+LoDCR)/1000)-(Vout_typ+2*C4+0.5*H4*LoDCR/1000))/(-$C$2-C4+0.5*G4*(Z4+LoDCR)/1000+0.5*H4*Z4/1000)</f>
        <v>0.82394295984248433</v>
      </c>
      <c r="J4" s="218">
        <f t="shared" ref="J4:J13" ca="1" si="4">0.5*G4*(D4-E4)+0.5*H4*(1-E4)</f>
        <v>6.3369179430682987E-2</v>
      </c>
      <c r="K4" s="218" t="str">
        <f t="shared" ref="K4:K13" ca="1" si="5">IF(B4&gt;=J4,"CCM","DCM")</f>
        <v>CCM</v>
      </c>
      <c r="L4" s="126">
        <f t="shared" ref="L4:L13" ca="1" si="6">IF($C$2&lt;=Vin_mode, (B4+F4*0.5*(1-D4))/(1-E4),IF(K4="DCM", SQRT(2*B4*Vout_typ*($C$2-Vout_typ)/(Lo*IF($C$2&lt;=18,Fsw,1.5*Fsw-$C$2/36*Fsw)*$C$2)), B4+0.5*F4))</f>
        <v>0.31413680091094348</v>
      </c>
      <c r="M4" s="126">
        <f>$C$2*Constants!$C$20/1000</f>
        <v>2.7E-2</v>
      </c>
      <c r="N4" s="126">
        <f>0.5*$C$2*IF($C$2&lt;=18,Fsw,1.5*Fsw-$C$2/36*Fsw)*($C$2/Constants!$C$25+$C$2/Constants!$C$26)*(10^-3)*($B4/(1-Efficiency!E4))</f>
        <v>2.2270426608821405E-3</v>
      </c>
      <c r="O4" s="218">
        <f ca="1">0.5*(Vout_typ+$C4)*IF($C$2&lt;=18,Fsw,1.5*Fsw-$C$2/36*Fsw)*((Vout_typ+$C4)/Constants!$C$25+(Vout_typ+$C4)/Constants!$C$26)*10^-3*IF($C$2&lt;=Vin_mode,$B4/(1-E4),0)</f>
        <v>9.3757917290459569E-3</v>
      </c>
      <c r="P4" s="218">
        <f t="shared" ref="P4:P13" ca="1" si="7">$Z4*($B4^2+F4^2/12)*$D4/(1-$E4)^2/1000</f>
        <v>9.6196818264471465E-3</v>
      </c>
      <c r="Q4" s="126">
        <f t="shared" ref="Q4:Q13" ca="1" si="8">$B4^2*E4/(1-E4)^2*AA4/1000</f>
        <v>8.6596813623587127E-4</v>
      </c>
      <c r="R4" s="126">
        <f>IF($C$2&lt;=Vin_mode,Fsw*$C$2*Qg_boost/1000,0)+Constants!$D$24*$C$2*IF(Efficiency!$C$2&lt;=18,Fsw,1.5*Fsw-Efficiency!$C$2/36*Fsw)/1000</f>
        <v>2.8080000000000001E-2</v>
      </c>
      <c r="S4" s="126">
        <f ca="1">SUM(M4,N4,P4,R4)</f>
        <v>6.6926724487329281E-2</v>
      </c>
      <c r="T4" s="126">
        <f t="shared" ref="T4:T13" ca="1" si="9">B4*C4*(1-D4)/(1-E4)</f>
        <v>1.4308800966434594E-2</v>
      </c>
      <c r="U4" s="126">
        <f t="shared" ref="U4:U13" ca="1" si="10">C4*B4/(1-E4)*(1-E4)</f>
        <v>3.221215330577392E-2</v>
      </c>
      <c r="V4" s="126">
        <f>IF($C$2&gt;(5+Design!$B$26),0,Vout_typ*Constants!$D$24*Fsw/1000)</f>
        <v>0</v>
      </c>
      <c r="W4" s="126">
        <f ca="1">(B4/(1-E4))^2*LoDCR/1000*(1+(Y4-25)*Constants!C$31/100)</f>
        <v>2.58676967010201E-3</v>
      </c>
      <c r="X4" s="126">
        <f>IF(Snubber=1,0.5*Snubber!$B$16/1000000000000*$C$2^2*IF($C$2&lt;=18,Fsw,1.5*Fsw-$C$2/36*Fsw)*1000000,0)</f>
        <v>0</v>
      </c>
      <c r="Y4" s="127">
        <f ca="1">S4*Design!$C$13+A4</f>
        <v>27.476288806031185</v>
      </c>
      <c r="Z4" s="127">
        <f ca="1">Constants!$D$21+Constants!$D$21*Constants!$C$22/100*(Y4-25)</f>
        <v>111.77054649631229</v>
      </c>
      <c r="AA4" s="127">
        <f ca="1">Rds_boost_max+Constants!$C$22*Rds_boost_max/100*(Y4-25)</f>
        <v>22.354109299262461</v>
      </c>
      <c r="AB4" s="126">
        <f t="shared" ref="AB4:AB13" ca="1" si="11">SUM(S4:X4,O4,Q4)</f>
        <v>0.12627620829492162</v>
      </c>
      <c r="AC4" s="126">
        <f t="shared" ref="AC4:AC13" si="12">Vout_typ*B4</f>
        <v>1.198881118881119</v>
      </c>
      <c r="AD4" s="276">
        <f t="shared" ref="AD4:AD13" ca="1" si="13">100*AC4/(AC4+AB4)</f>
        <v>90.47085159586139</v>
      </c>
      <c r="AE4" s="270">
        <f>Iout/10+0*Iout/10</f>
        <v>0.1</v>
      </c>
      <c r="AF4" s="220">
        <f ca="1">FORECAST(AE4, OFFSET(Design!$C$19:$C$21,MATCH(AE4,Design!$B$19:$B$21,1)-1,0,2), OFFSET(Design!$B$19:$B$21,MATCH(AE4,Design!$B$19:$B$21,1)-1,0,2))+(BB4-25)*Design!$B$22/1000</f>
        <v>0.3206529261326802</v>
      </c>
      <c r="AG4" s="220">
        <f t="shared" ref="AG4:AG13" ca="1" si="14">IF($AF$2&lt;=Vin_mode,((AH4-1)*(Vout_typ+AF4)-AF4-(AO4-AI4/2)*(BD4*AH4/1000+LoDCR/1000))/((AO4-AI4/2)*BC4/1000-$AF$2-AF4),(Vout_typ+2*AF4+(AO4-AI4/2)*LoDCR/1000)/($AF$2+AF4-(AO4-AI4/2)*BC4/1000))</f>
        <v>0.81618534906946971</v>
      </c>
      <c r="AH4" s="220">
        <f>MAX(0,(1-1.844*Efficiency!$AF$2/RNG))</f>
        <v>0.20971428571428574</v>
      </c>
      <c r="AI4" s="128">
        <f>IF($AF$2&lt;=Vin_mode,MAX(Efficiency!$AF$2*AH4/(Fsw*Lo),(Efficiency!$AF$2*AH4/(Fsw*Lo)+(Efficiency!$AF$2-Vout_typ)*(1.844*Vout_typ/RNG-AH4)/(Fsw*Lo))),IF(AN4="DCM",AG4*($AF$2-Vout_typ)/(Lo*IF($AF$2&lt;=18,Fsw,1.5*Fsw-$AF$2/36*Fsw)),AG4*($AF$2-(Vout_typ+1*AF4)-(AO4-AI4/2)*(BC4+LoDCR)/1000)/(Lo*IF($AF$2&lt;=18,Fsw,1.5*Fsw-$AF$2/36*Fsw))))</f>
        <v>0.19114084000339554</v>
      </c>
      <c r="AJ4" s="128">
        <f t="shared" ref="AJ4:AJ13" ca="1" si="15">IF($AF$2&lt;=Vin_mode,$AF$2/(Lo*Fsw/AH4+0.5*(BC4+BD4+LoDCR)/1000),0)</f>
        <v>0.19038363030701946</v>
      </c>
      <c r="AK4" s="128">
        <f t="shared" ref="AK4:AK13" ca="1" si="16">(Vout_typ+2*AF4)/(Lo*IF($AF$2&lt;=18,Fsw,1.5*Fsw-$AF$2/36*Fsw)/(1-AL4)-0.5*LoDCR/1000)</f>
        <v>0.17485223188213059</v>
      </c>
      <c r="AL4" s="220">
        <f t="shared" ref="AL4:AL13" ca="1" si="17">(AH4*((Vout_typ+AF4)-0.5*AJ4*BD4/1000+0.5*AK4*(BC4+LoDCR)/1000)-(Vout_typ+2*AF4+0.5*AK4*LoDCR/1000))/(-$AF$2-AF4+0.5*AJ4*(BC4+LoDCR)/1000+0.5*AK4*BC4/1000)</f>
        <v>0.81730885198923287</v>
      </c>
      <c r="AM4" s="220">
        <f t="shared" ref="AM4" ca="1" si="18">0.5*AJ4*(AG4-AH4)+0.5*AK4*(1-AH4)</f>
        <v>0.12682269184256961</v>
      </c>
      <c r="AN4" s="220" t="str">
        <f t="shared" ref="AN4" ca="1" si="19">IF(AE4&gt;=AM4,"CCM","DCM")</f>
        <v>DCM</v>
      </c>
      <c r="AO4" s="128">
        <f t="shared" ref="AO4:AO13" ca="1" si="20">IF($AF$2&lt;=Vin_mode, (AE4+AI4*0.5*(1-AG4))/(1-AH4),IF(AN4="DCM", SQRT(2*AE4*Vout_typ*($AF$2-Vout_typ)/(Lo*IF($AF$2&lt;=18,Fsw,1.5*Fsw-$AF$2/36*Fsw)*$AF$2)), AE4+0.5*AI4))</f>
        <v>0.14876549236140163</v>
      </c>
      <c r="AP4" s="128">
        <f>$AF$2*Constants!$C$20/1000</f>
        <v>5.3999999999999999E-2</v>
      </c>
      <c r="AQ4" s="128">
        <f>0.5*$AF$2*IF($AF$2&lt;=18,Fsw,1.5*Fsw-$AF$2/36*Fsw)*($AF$2/Constants!$C$25+$AF$2/Constants!$C$26)*10^-3*IF($AF$2&lt;=Vin_mode,$AE4/(1-Efficiency!AH4),$AE4)</f>
        <v>4.454085321764281E-3</v>
      </c>
      <c r="AR4" s="220">
        <f ca="1">0.5*(Vout_typ+$AF4)*IF($AF$2&lt;=18,Fsw,1.5*Fsw-$AF$2/36*Fsw)*((Vout_typ+$AF4)/Constants!$C$25+(Vout_typ+$AF4)/Constants!$C$26)*10^-3*IF($AF$2&lt;=Vin_mode,$AE4/(1-AH4),0)</f>
        <v>4.6867774658054156E-3</v>
      </c>
      <c r="AS4" s="220">
        <f t="shared" ref="AS4:AS13" ca="1" si="21">$BC4*($AE4^2+AI4^2/12)*$AG4/(1-$AH4)^2/1000</f>
        <v>1.927737985124759E-3</v>
      </c>
      <c r="AT4" s="128">
        <f t="shared" ref="AT4:AT13" ca="1" si="22">$AE4^2*AH4/(1-AH4)^2*BD4/1000</f>
        <v>7.5942957715685808E-5</v>
      </c>
      <c r="AU4" s="128">
        <f>IF($AF$2&lt;=Vin_mode,Fsw*$AF$2*Qg_boost/1000,0)+Constants!$D$24*$AF$2*IF(Efficiency!$AF$2&lt;=18,Fsw,1.5*Fsw-Efficiency!$AF$2/36*Fsw)/1000</f>
        <v>5.6160000000000002E-2</v>
      </c>
      <c r="AV4" s="128">
        <f ca="1">SUM(AP4,AQ4,AS4,AU4)</f>
        <v>0.11654182330688903</v>
      </c>
      <c r="AW4" s="128">
        <f ca="1">AE4*AF4*(1-AG4)/(1-AH4)</f>
        <v>7.4581514788236098E-3</v>
      </c>
      <c r="AX4" s="128">
        <f t="shared" ref="AX4:AX13" ca="1" si="23">AF4*AE4/(1-AH4)*(1-AH4)</f>
        <v>3.2065292613268022E-2</v>
      </c>
      <c r="AY4" s="128">
        <f>IF($AF$2&gt;(5+Design!$B$26),0,Vout_typ*Constants!$D$24*Fsw/1000)</f>
        <v>0</v>
      </c>
      <c r="AZ4" s="128">
        <f ca="1">(AE4/(1-AH4))^2*LoDCR/1000*(1+(BB4-25)*Constants!C$31/100)</f>
        <v>6.5131303337638384E-4</v>
      </c>
      <c r="BA4" s="128">
        <f>IF(Snubber=1,0.5*Snubber!$B$16/1000000000000*$AF$2^2*IF($AF$2&lt;=18,Fsw,1.5*Fsw-$AF$2/36*Fsw)*1000000,0)</f>
        <v>0</v>
      </c>
      <c r="BB4" s="129">
        <f ca="1">AV4*Design!$C$13+A4</f>
        <v>29.312047462354894</v>
      </c>
      <c r="BC4" s="129">
        <f ca="1">Constants!$D$21+Constants!$D$21*Constants!$C$22/100*(BB4-25)</f>
        <v>113.08311393558375</v>
      </c>
      <c r="BD4" s="129">
        <f ca="1">Rds_boost_max+Constants!$C$22*Rds_boost_max/100*(BB4-25)</f>
        <v>22.61662278711675</v>
      </c>
      <c r="BE4" s="128">
        <f ca="1">SUM(AV4:BA4,AR4,AT4)</f>
        <v>0.16147930085587814</v>
      </c>
      <c r="BF4" s="128">
        <f t="shared" ref="BF4:BF13" si="24">Vout_typ*AE4</f>
        <v>1.198881118881119</v>
      </c>
      <c r="BG4" s="285">
        <f t="shared" ref="BG4" ca="1" si="25">100*BF4/(BF4+BE4)</f>
        <v>88.129667806190852</v>
      </c>
      <c r="BH4" s="284">
        <f>Iout/10+0*Iout/10</f>
        <v>0.1</v>
      </c>
      <c r="BI4" s="272">
        <f ca="1">FORECAST(BH4, OFFSET(Design!$C$19:$C$21,MATCH(BH4,Design!$B$19:$B$21,1)-1,0,2), OFFSET(Design!$B$19:$B$21,MATCH(BH4,Design!$B$19:$B$21,1)-1,0,2))+(CE4-25)*Design!$B$22/1000</f>
        <v>0.3198665600593249</v>
      </c>
      <c r="BJ4" s="272">
        <f t="shared" ref="BJ4:BJ13" ca="1" si="26">IF($BI$2&lt;=Vin_mode,((BK4-1)*(Vout_typ+BI4)-BI4-(BR4-BL4/2)*(CG4*BK4/1000+LoDCR/1000))/((BR4-BL4/2)*CF4/1000-$BI$2-BI4),IF(BQ4="DCM",(Vout_typ)/($BI$2)*2*BH4/BR4,(Vout_typ+2*BI4+(BR4-BL4/2)*LoDCR/1000)/($BI$2+BI4-(BR4-BL4/2)*CF4/1000)))</f>
        <v>0.43193137343726751</v>
      </c>
      <c r="BK4" s="272">
        <f>MAX(0,(1-1.844*Efficiency!$BI$2/RNG))</f>
        <v>0</v>
      </c>
      <c r="BL4" s="130">
        <f ca="1">IF($BI$2&lt;=Vin_mode,MAX(Efficiency!$BI$2*BK4/(Fsw*Lo),(Efficiency!$BI$2*BK4/(Fsw*Lo)+(Efficiency!$BI$2-Vout_typ)*(1.844*Vout_typ/RNG-BK4)/(Fsw*Lo))),IF(BQ4="DCM",BJ4*($BI$2-Vout_typ)/(Lo*IF($BI$2&lt;=18,Fsw,1.5*Fsw-$BI$2/36*Fsw)),BJ4*($BI$2-(Vout_typ+1*BI4)-(BR4-BL4/2)*(CF4+LoDCR)/1000)/(Lo*IF($BI$2&lt;=18,Fsw,1.5*Fsw-$BI$2/36*Fsw))))</f>
        <v>0.27756287054134104</v>
      </c>
      <c r="BM4" s="130">
        <f t="shared" ref="BM4:BM13" si="27">IF($BI$2&lt;=Vin_mode,$AF$2/(Lo*Fsw/BK4+0.5*(CF4+CG4+LoDCR)/1000),0)</f>
        <v>0</v>
      </c>
      <c r="BN4" s="130">
        <f t="shared" ref="BN4:BN13" ca="1" si="28">(Vout_typ+2*BI4)/(Lo*IF($BI$2&lt;=18,Fsw,1.5*Fsw-$BI$2/36*Fsw)/(1-BO4)-0.5*LoDCR/1000)</f>
        <v>0.38260204621390331</v>
      </c>
      <c r="BO4" s="221">
        <f t="shared" ref="BO4:BO13" ca="1" si="29">(BK4*((Vout_typ+BI4)-0.5*BM4*CG4/1000+0.5*BN4*(CF4+LoDCR)/1000)-(Vout_typ+2*BI4+0.5*BN4*LoDCR/1000))/(-$BI$2-BI4+0.5*BM4*(CF4+LoDCR)/1000+0.5*BN4*CF4/1000)</f>
        <v>0.62253101771496333</v>
      </c>
      <c r="BP4" s="221">
        <f t="shared" ref="BP4:BP13" ca="1" si="30">0.5*BM4*(BJ4-BK4)+0.5*BN4*(1-BK4)</f>
        <v>0.19130102310695166</v>
      </c>
      <c r="BQ4" s="221" t="str">
        <f t="shared" ref="BQ4:BQ13" ca="1" si="31">IF(BH4&gt;=BP4,"CCM","DCM")</f>
        <v>DCM</v>
      </c>
      <c r="BR4" s="130">
        <f t="shared" ref="BR4:BR13" ca="1" si="32">IF($BI$2&lt;=Vin_mode, (BH4+BL4*0.5*(1-BJ4))/(1-BK4),IF(BQ4="DCM", SQRT(2*BH4*Vout_typ*($BI$2-Vout_typ)/(Lo*IF($BI$2&lt;=18,Fsw,1.5*Fsw-$BI$2/36*Fsw)*$BI$2)), BH4+0.5*BL4))</f>
        <v>0.27756287054134104</v>
      </c>
      <c r="BS4" s="130">
        <f>$BI$2*Constants!$C$20/1000</f>
        <v>0.09</v>
      </c>
      <c r="BT4" s="130">
        <f>0.5*$BI$2*IF($BI$2&lt;=18,Fsw,1.5*Fsw-$BI$2/36*Fsw)*($BI$2/Constants!$C$25+$BI$2/Constants!$C$26)*10^-3*IF($BI$2&lt;=Vin_mode,$BH4/(1-Efficiency!BK4),$BH4)</f>
        <v>9.2345679012345704E-3</v>
      </c>
      <c r="BU4" s="221">
        <f ca="1">0.5*(Vout_typ+$BI4)*IF($BI$2&lt;=18,Fsw,1.5*Fsw-$BI$2/36*Fsw)*((Vout_typ+$BI4)/Constants!$C$25+(Vout_typ+$BI4)/Constants!$C$26)*10^-3*IF($BI$2&lt;=Vin_mode,$BH4/(1-BK4),0)</f>
        <v>0</v>
      </c>
      <c r="BV4" s="221">
        <f t="shared" ref="BV4:BV13" ca="1" si="33">$CF4*(BH4^2+BL4^2/12)*BJ4/(1-BK4)^2/1000</f>
        <v>8.0701013612551606E-4</v>
      </c>
      <c r="BW4" s="130">
        <f t="shared" ref="BW4:BW13" ca="1" si="34">$BH4^2*BK4/(1-BK4)^2*CG4/1000</f>
        <v>0</v>
      </c>
      <c r="BX4" s="130">
        <f>IF($BI$2&lt;=Vin_mode,Fsw*$BI$2*Qg_boost/1000,0)+Constants!$D$24*$BI$2*IF(Efficiency!$BI$2&lt;=18,Fsw,1.5*Fsw-Efficiency!$BI$2/36*Fsw)/1000</f>
        <v>4.3066666666666677E-2</v>
      </c>
      <c r="BY4" s="130">
        <f t="shared" ref="BY4:BY13" ca="1" si="35">SUM(BS4,BT4,BV4,BX4)</f>
        <v>0.14310824470402675</v>
      </c>
      <c r="BZ4" s="130">
        <f t="shared" ref="BZ4:BZ13" ca="1" si="36">BH4*BI4*(1-BJ4)/(1-BK4)</f>
        <v>1.817061574562465E-2</v>
      </c>
      <c r="CA4" s="130">
        <f t="shared" ref="CA4:CA13" ca="1" si="37">BI4*BH4/(1-BK4)*(1-BK4)</f>
        <v>3.1986656005932493E-2</v>
      </c>
      <c r="CB4" s="130">
        <f>IF($BI$2&gt;(5+Design!$B$26),0,Vout_typ*Constants!$D$24*Fsw/1000)</f>
        <v>0</v>
      </c>
      <c r="CC4" s="130">
        <f ca="1">(BH4/(1-BK4))^2*LoDCR/1000*(1+(CE4-25)*Constants!C$31/100)</f>
        <v>4.0832374794496512E-4</v>
      </c>
      <c r="CD4" s="130">
        <f>IF(Snubber,0.5*Snubber!$B$16/1000000000000*$BI$2^2*IF($BI$2&lt;=18,Fsw,1.5*Fsw-$BI$2/36*Fsw)*1000000,0)</f>
        <v>0</v>
      </c>
      <c r="CE4" s="131">
        <f ca="1">BY4*Design!$C$13+A4</f>
        <v>30.295005054048989</v>
      </c>
      <c r="CF4" s="131">
        <f ca="1">Constants!$D$21+Constants!$D$21*Constants!$C$22/100*(CE4-25)</f>
        <v>113.78592861364503</v>
      </c>
      <c r="CG4" s="131">
        <f ca="1">Rds_boost_max+Constants!$C$22*Rds_boost_max/100*(CE4-25)</f>
        <v>22.757185722729005</v>
      </c>
      <c r="CH4" s="130">
        <f t="shared" ref="CH4:CH13" ca="1" si="38">SUM(BY4:CD4,BU4,BW4)</f>
        <v>0.19367384020352885</v>
      </c>
      <c r="CI4" s="130">
        <f t="shared" ref="CI4:CI13" si="39">Vout_typ*BH4</f>
        <v>1.198881118881119</v>
      </c>
      <c r="CJ4" s="286">
        <f t="shared" ref="CJ4:CJ9" ca="1" si="40">100*CI4/(CI4+CH4)</f>
        <v>86.092194139983235</v>
      </c>
    </row>
    <row r="5" spans="1:88" s="96" customFormat="1" ht="13.5" thickBot="1" x14ac:dyDescent="0.25">
      <c r="A5" s="95">
        <v>25</v>
      </c>
      <c r="B5" s="269">
        <f t="shared" ref="B5:B13" si="41">B4+Iout/10</f>
        <v>0.2</v>
      </c>
      <c r="C5" s="218">
        <f ca="1">FORECAST(B5, OFFSET(Design!$C$19:$C$21,MATCH(B5,Design!$B$19:$B$21,1)-1,0,2), OFFSET(Design!$B$19:$B$21,MATCH(B5,Design!$B$19:$B$21,1)-1,0,2))+(Y5-25)*Design!$B$22/1000</f>
        <v>0.32972631503291983</v>
      </c>
      <c r="D5" s="250">
        <f t="shared" ca="1" si="0"/>
        <v>0.83101692519717363</v>
      </c>
      <c r="E5" s="218">
        <f>MAX(0,(1-1.844*Efficiency!$C$2/RNG))</f>
        <v>0.60485714285714287</v>
      </c>
      <c r="F5" s="126">
        <f>IF($C$2&lt;=Vin_mode,MAX(Efficiency!$C$2*E5/(Fsw*Lo),(Efficiency!$C$2*E5/(Fsw*Lo)+(Efficiency!$C$2-Vout_typ)*(1.844*Vout_typ/RNG-E5)/(Fsw*Lo))),IF(K5="DCM",D5*($C$2-Vout_typ)/(Lo*IF($C$2&lt;=18,Fsw,1.5*Fsw-$C$2/36*Fsw)),D5*($C$2-(Vout_typ+1*C5)-(L5-F5/2)*(Z5+LoDCR)/1000)/(Lo*IF($C$2&lt;=18,Fsw,1.5*Fsw-$C$2/36*Fsw))))</f>
        <v>0.27493506493506492</v>
      </c>
      <c r="G5" s="126">
        <f t="shared" ca="1" si="1"/>
        <v>0.27383856974523735</v>
      </c>
      <c r="H5" s="126">
        <f t="shared" ca="1" si="2"/>
        <v>0.16807150632742132</v>
      </c>
      <c r="I5" s="218">
        <f t="shared" ca="1" si="3"/>
        <v>0.82464356635154912</v>
      </c>
      <c r="J5" s="218">
        <f t="shared" ca="1" si="4"/>
        <v>6.417176327220464E-2</v>
      </c>
      <c r="K5" s="218" t="str">
        <f t="shared" ca="1" si="5"/>
        <v>CCM</v>
      </c>
      <c r="L5" s="126">
        <f t="shared" ca="1" si="6"/>
        <v>0.56493413024347328</v>
      </c>
      <c r="M5" s="126">
        <f>$C$2*Constants!$C$20/1000</f>
        <v>2.7E-2</v>
      </c>
      <c r="N5" s="126">
        <f>0.5*$C$2*IF($C$2&lt;=18,Fsw,1.5*Fsw-$C$2/36*Fsw)*($C$2/Constants!$C$25+$C$2/Constants!$C$26)*10^-3*($B5/(1-Efficiency!E5))</f>
        <v>4.454085321764281E-3</v>
      </c>
      <c r="O5" s="218">
        <f ca="1">0.5*(Vout_typ+$C5)*IF($C$2&lt;=18,Fsw,1.5*Fsw-$C$2/36*Fsw)*((Vout_typ+$C5)/Constants!$C$25+(Vout_typ+$C5)/Constants!$C$26)*10^-3*IF($C$2&lt;=Vin_mode,$B5/(1-E5),0)</f>
        <v>1.8774757290894627E-2</v>
      </c>
      <c r="P5" s="218">
        <f t="shared" ca="1" si="7"/>
        <v>2.7674606393522826E-2</v>
      </c>
      <c r="Q5" s="126">
        <f t="shared" ca="1" si="8"/>
        <v>3.4805010180220643E-3</v>
      </c>
      <c r="R5" s="126">
        <f>IF($C$2&lt;=Vin_mode,Fsw*$C$2*Qg_boost/1000,0)+Constants!$D$24*$C$2*IF(Efficiency!$C$2&lt;=18,Fsw,1.5*Fsw-Efficiency!$C$2/36*Fsw)/1000</f>
        <v>2.8080000000000001E-2</v>
      </c>
      <c r="S5" s="126">
        <f ca="1">SUM(M5,N5,P5,R5)</f>
        <v>8.7208691715287112E-2</v>
      </c>
      <c r="T5" s="126">
        <f t="shared" ca="1" si="9"/>
        <v>2.8201530434105379E-2</v>
      </c>
      <c r="U5" s="126">
        <f t="shared" ca="1" si="10"/>
        <v>6.5945263006583973E-2</v>
      </c>
      <c r="V5" s="126">
        <f>IF($C$2&gt;(5+Design!$B$26),0,Vout_typ*Constants!$D$24*Fsw/1000)</f>
        <v>0</v>
      </c>
      <c r="W5" s="126">
        <f ca="1">(B5/(1-E5))^2*LoDCR/1000*(1+(Y5-25)*Constants!C$31/100)</f>
        <v>1.0377300183616611E-2</v>
      </c>
      <c r="X5" s="126">
        <f>IF(Snubber=1,0.5*Snubber!$B$16/1000000000000*$C$2^2*IF($C$2&lt;=18,Fsw,1.5*Fsw-$C$2/36*Fsw)*1000000,0)</f>
        <v>0</v>
      </c>
      <c r="Y5" s="127">
        <f ca="1">S5*Design!$C$13+A5</f>
        <v>28.226721593465623</v>
      </c>
      <c r="Z5" s="127">
        <f ca="1">Constants!$D$21+Constants!$D$21*Constants!$C$22/100*(Y5-25)</f>
        <v>112.30710593932793</v>
      </c>
      <c r="AA5" s="127">
        <f ca="1">Rds_boost_max+Constants!$C$22*Rds_boost_max/100*(Y5-25)</f>
        <v>22.461421187865586</v>
      </c>
      <c r="AB5" s="126">
        <f t="shared" ca="1" si="11"/>
        <v>0.21398804364850973</v>
      </c>
      <c r="AC5" s="126">
        <f t="shared" si="12"/>
        <v>2.3977622377622381</v>
      </c>
      <c r="AD5" s="276">
        <f t="shared" ca="1" si="13"/>
        <v>91.806718844003598</v>
      </c>
      <c r="AE5" s="270">
        <f t="shared" ref="AE5:AE13" si="42">AE4+Iout/10</f>
        <v>0.2</v>
      </c>
      <c r="AF5" s="220">
        <f ca="1">FORECAST(AE5, OFFSET(Design!$C$19:$C$21,MATCH(AE5,Design!$B$19:$B$21,1)-1,0,2), OFFSET(Design!$B$19:$B$21,MATCH(AE5,Design!$B$19:$B$21,1)-1,0,2))+(BB5-25)*Design!$B$22/1000</f>
        <v>0.32859412017091122</v>
      </c>
      <c r="AG5" s="220">
        <f t="shared" ca="1" si="14"/>
        <v>0.818222894200346</v>
      </c>
      <c r="AH5" s="220">
        <f>MAX(0,(1-1.844*Efficiency!$AF$2/RNG))</f>
        <v>0.20971428571428574</v>
      </c>
      <c r="AI5" s="128">
        <f>IF($AF$2&lt;=Vin_mode,MAX(Efficiency!$AF$2*AH5/(Fsw*Lo),(Efficiency!$AF$2*AH5/(Fsw*Lo)+(Efficiency!$AF$2-Vout_typ)*(1.844*Vout_typ/RNG-AH5)/(Fsw*Lo))),IF(AN5="DCM",AG5*($AF$2-Vout_typ)/(Lo*IF($AF$2&lt;=18,Fsw,1.5*Fsw-$AF$2/36*Fsw)),AG5*($AF$2-(Vout_typ+1*AF5)-(AO5-AI5/2)*(BC5+LoDCR)/1000)/(Lo*IF($AF$2&lt;=18,Fsw,1.5*Fsw-$AF$2/36*Fsw))))</f>
        <v>0.19114084000339554</v>
      </c>
      <c r="AJ5" s="128">
        <f t="shared" ca="1" si="15"/>
        <v>0.19038320280329182</v>
      </c>
      <c r="AK5" s="128">
        <f t="shared" ca="1" si="16"/>
        <v>0.17446918500051531</v>
      </c>
      <c r="AL5" s="220">
        <f t="shared" ca="1" si="17"/>
        <v>0.81793784111918</v>
      </c>
      <c r="AM5" s="220">
        <f t="shared" ref="AM5:AM13" ca="1" si="43">0.5*AJ5*(AG5-AH5)+0.5*AK5*(1-AH5)</f>
        <v>0.12686516115296459</v>
      </c>
      <c r="AN5" s="220" t="str">
        <f t="shared" ref="AN5:AN13" ca="1" si="44">IF(AE5&gt;=AM5,"CCM","DCM")</f>
        <v>CCM</v>
      </c>
      <c r="AO5" s="128">
        <f t="shared" ca="1" si="20"/>
        <v>0.2750556038387133</v>
      </c>
      <c r="AP5" s="128">
        <f>$AF$2*Constants!$C$20/1000</f>
        <v>5.3999999999999999E-2</v>
      </c>
      <c r="AQ5" s="128">
        <f>0.5*$AF$2*IF($AF$2&lt;=18,Fsw,1.5*Fsw-$AF$2/36*Fsw)*($AF$2/Constants!$C$25+$AF$2/Constants!$C$26)*10^-3*IF($AF$2&lt;=Vin_mode,$AE5/(1-Efficiency!AH5),$AE5)</f>
        <v>8.908170643528562E-3</v>
      </c>
      <c r="AR5" s="220">
        <f ca="1">0.5*(Vout_typ+$AF5)*IF($AF$2&lt;=18,Fsw,1.5*Fsw-$AF$2/36*Fsw)*((Vout_typ+$AF5)/Constants!$C$25+(Vout_typ+$AF5)/Constants!$C$26)*10^-3*IF($AF$2&lt;=Vin_mode,$AE5/(1-AH5),0)</f>
        <v>9.3856531397300703E-3</v>
      </c>
      <c r="AS5" s="220">
        <f t="shared" ca="1" si="21"/>
        <v>6.3903474909682715E-3</v>
      </c>
      <c r="AT5" s="128">
        <f t="shared" ca="1" si="22"/>
        <v>3.0440549832704689E-4</v>
      </c>
      <c r="AU5" s="128">
        <f>IF($AF$2&lt;=Vin_mode,Fsw*$AF$2*Qg_boost/1000,0)+Constants!$D$24*$AF$2*IF(Efficiency!$AF$2&lt;=18,Fsw,1.5*Fsw-Efficiency!$AF$2/36*Fsw)/1000</f>
        <v>5.6160000000000002E-2</v>
      </c>
      <c r="AV5" s="128">
        <f t="shared" ref="AV5:AV13" ca="1" si="45">SUM(AP5,AQ5,AS5,AU5)</f>
        <v>0.12545851813449682</v>
      </c>
      <c r="AW5" s="128">
        <f t="shared" ref="AW5:AW13" ca="1" si="46">AE5*AF5*(1-AG5)/(1-AH5)</f>
        <v>1.5116276826903965E-2</v>
      </c>
      <c r="AX5" s="128">
        <f t="shared" ca="1" si="23"/>
        <v>6.5718824034182249E-2</v>
      </c>
      <c r="AY5" s="128">
        <f>IF($AF$2&gt;(5+Design!$B$26),0,Vout_typ*Constants!$D$24*Fsw/1000)</f>
        <v>0</v>
      </c>
      <c r="AZ5" s="128">
        <f ca="1">(AE5/(1-AH5))^2*LoDCR/1000*(1+(BB5-25)*Constants!C$31/100)</f>
        <v>2.6085737531284453E-3</v>
      </c>
      <c r="BA5" s="128">
        <f>IF(Snubber=1,0.5*Snubber!$B$16/1000000000000*$AF$2^2*IF($AF$2&lt;=18,Fsw,1.5*Fsw-$AF$2/36*Fsw)*1000000,0)</f>
        <v>0</v>
      </c>
      <c r="BB5" s="129">
        <f ca="1">AV5*Design!$C$13+A5</f>
        <v>29.641965170976384</v>
      </c>
      <c r="BC5" s="129">
        <f ca="1">Constants!$D$21+Constants!$D$21*Constants!$C$22/100*(BB5-25)</f>
        <v>113.31900509724811</v>
      </c>
      <c r="BD5" s="129">
        <f ca="1">Rds_boost_max+Constants!$C$22*Rds_boost_max/100*(BB5-25)</f>
        <v>22.663801019449622</v>
      </c>
      <c r="BE5" s="128">
        <f t="shared" ref="BE5:BE13" ca="1" si="47">SUM(AV5:BA5,AR5,AT5)</f>
        <v>0.21859225138676863</v>
      </c>
      <c r="BF5" s="128">
        <f t="shared" si="24"/>
        <v>2.3977622377622381</v>
      </c>
      <c r="BG5" s="285">
        <f t="shared" ref="BG5:BG9" ca="1" si="48">100*BF5/(BF5+BE5)</f>
        <v>91.645159236129814</v>
      </c>
      <c r="BH5" s="284">
        <f t="shared" ref="BH5:BH13" si="49">BH4+Iout/10</f>
        <v>0.2</v>
      </c>
      <c r="BI5" s="272">
        <f ca="1">FORECAST(BH5, OFFSET(Design!$C$19:$C$21,MATCH(BH5,Design!$B$19:$B$21,1)-1,0,2), OFFSET(Design!$B$19:$B$21,MATCH(BH5,Design!$B$19:$B$21,1)-1,0,2))+(CE5-25)*Design!$B$22/1000</f>
        <v>0.32771238891802418</v>
      </c>
      <c r="BJ5" s="272">
        <f t="shared" ca="1" si="26"/>
        <v>0.62311272589857014</v>
      </c>
      <c r="BK5" s="272">
        <f>MAX(0,(1-1.844*Efficiency!$BI$2/RNG))</f>
        <v>0</v>
      </c>
      <c r="BL5" s="130">
        <f ca="1">IF($BI$2&lt;=Vin_mode,MAX(Efficiency!$BI$2*BK5/(Fsw*Lo),(Efficiency!$BI$2*BK5/(Fsw*Lo)+(Efficiency!$BI$2-Vout_typ)*(1.844*Vout_typ/RNG-BK5)/(Fsw*Lo))),IF(BQ5="DCM",BJ5*($BI$2-Vout_typ)/(Lo*IF($BI$2&lt;=18,Fsw,1.5*Fsw-$BI$2/36*Fsw)),BJ5*($BI$2-(Vout_typ+1*BI5)-(BR5-BL5/2)*(CF5+LoDCR)/1000)/(Lo*IF($BI$2&lt;=18,Fsw,1.5*Fsw-$BI$2/36*Fsw))))</f>
        <v>0.38249733086292081</v>
      </c>
      <c r="BM5" s="130">
        <f t="shared" si="27"/>
        <v>0</v>
      </c>
      <c r="BN5" s="130">
        <f t="shared" ca="1" si="28"/>
        <v>0.38253525923272036</v>
      </c>
      <c r="BO5" s="221">
        <f t="shared" ca="1" si="29"/>
        <v>0.62306494763988085</v>
      </c>
      <c r="BP5" s="221">
        <f t="shared" ca="1" si="30"/>
        <v>0.19126762961636018</v>
      </c>
      <c r="BQ5" s="221" t="str">
        <f t="shared" ca="1" si="31"/>
        <v>CCM</v>
      </c>
      <c r="BR5" s="130">
        <f t="shared" ca="1" si="32"/>
        <v>0.39124866543146042</v>
      </c>
      <c r="BS5" s="130">
        <f>$BI$2*Constants!$C$20/1000</f>
        <v>0.09</v>
      </c>
      <c r="BT5" s="130">
        <f>0.5*$BI$2*IF($BI$2&lt;=18,Fsw,1.5*Fsw-$BI$2/36*Fsw)*($BI$2/Constants!$C$25+$BI$2/Constants!$C$26)*10^-3*IF($BI$2&lt;=Vin_mode,$BH5/(1-Efficiency!BK5),$BH5)</f>
        <v>1.8469135802469141E-2</v>
      </c>
      <c r="BU5" s="221">
        <f ca="1">0.5*(Vout_typ+$BI5)*IF($BI$2&lt;=18,Fsw,1.5*Fsw-$BI$2/36*Fsw)*((Vout_typ+$BI5)/Constants!$C$25+(Vout_typ+$BI5)/Constants!$C$26)*10^-3*IF($BI$2&lt;=Vin_mode,$BH5/(1-BK5),0)</f>
        <v>0</v>
      </c>
      <c r="BV5" s="221">
        <f t="shared" ca="1" si="33"/>
        <v>3.7109336683011163E-3</v>
      </c>
      <c r="BW5" s="130">
        <f t="shared" ca="1" si="34"/>
        <v>0</v>
      </c>
      <c r="BX5" s="130">
        <f>IF($BI$2&lt;=Vin_mode,Fsw*$BI$2*Qg_boost/1000,0)+Constants!$D$24*$BI$2*IF(Efficiency!$BI$2&lt;=18,Fsw,1.5*Fsw-Efficiency!$BI$2/36*Fsw)/1000</f>
        <v>4.3066666666666677E-2</v>
      </c>
      <c r="BY5" s="130">
        <f t="shared" ca="1" si="35"/>
        <v>0.15524673613743695</v>
      </c>
      <c r="BZ5" s="130">
        <f t="shared" ca="1" si="36"/>
        <v>2.4702125789716353E-2</v>
      </c>
      <c r="CA5" s="130">
        <f t="shared" ca="1" si="37"/>
        <v>6.5542477783604836E-2</v>
      </c>
      <c r="CB5" s="130">
        <f>IF($BI$2&gt;(5+Design!$B$26),0,Vout_typ*Constants!$D$24*Fsw/1000)</f>
        <v>0</v>
      </c>
      <c r="CC5" s="130">
        <f ca="1">(BH5/(1-BK5))^2*LoDCR/1000*(1+(CE5-25)*Constants!C$31/100)</f>
        <v>1.636119084642792E-3</v>
      </c>
      <c r="CD5" s="130">
        <f>IF(Snubber,0.5*Snubber!$B$16/1000000000000*$BI$2^2*IF($BI$2&lt;=18,Fsw,1.5*Fsw-$BI$2/36*Fsw)*1000000,0)</f>
        <v>0</v>
      </c>
      <c r="CE5" s="131">
        <f ca="1">BY5*Design!$C$13+A5</f>
        <v>30.744129237085168</v>
      </c>
      <c r="CF5" s="131">
        <f ca="1">Constants!$D$21+Constants!$D$21*Constants!$C$22/100*(CE5-25)</f>
        <v>114.1070524045159</v>
      </c>
      <c r="CG5" s="131">
        <f ca="1">Rds_boost_max+Constants!$C$22*Rds_boost_max/100*(CE5-25)</f>
        <v>22.821410480903179</v>
      </c>
      <c r="CH5" s="130">
        <f t="shared" ca="1" si="38"/>
        <v>0.24712745879540093</v>
      </c>
      <c r="CI5" s="130">
        <f t="shared" si="39"/>
        <v>2.3977622377622381</v>
      </c>
      <c r="CJ5" s="286">
        <f t="shared" ca="1" si="40"/>
        <v>90.656417198908485</v>
      </c>
    </row>
    <row r="6" spans="1:88" s="96" customFormat="1" ht="13.5" thickBot="1" x14ac:dyDescent="0.25">
      <c r="A6" s="95">
        <v>25</v>
      </c>
      <c r="B6" s="269">
        <f t="shared" si="41"/>
        <v>0.30000000000000004</v>
      </c>
      <c r="C6" s="218">
        <f ca="1">FORECAST(B6, OFFSET(Design!$C$19:$C$21,MATCH(B6,Design!$B$19:$B$21,1)-1,0,2), OFFSET(Design!$B$19:$B$21,MATCH(B6,Design!$B$19:$B$21,1)-1,0,2))+(Y6-25)*Design!$B$22/1000</f>
        <v>0.33695392864582357</v>
      </c>
      <c r="D6" s="250">
        <f t="shared" ca="1" si="0"/>
        <v>0.83764338965709617</v>
      </c>
      <c r="E6" s="218">
        <f>MAX(0,(1-1.844*Efficiency!$C$2/RNG))</f>
        <v>0.60485714285714287</v>
      </c>
      <c r="F6" s="126">
        <f>IF($C$2&lt;=Vin_mode,MAX(Efficiency!$C$2*E6/(Fsw*Lo),(Efficiency!$C$2*E6/(Fsw*Lo)+(Efficiency!$C$2-Vout_typ)*(1.844*Vout_typ/RNG-E6)/(Fsw*Lo))),IF(K6="DCM",D6*($C$2-Vout_typ)/(Lo*IF($C$2&lt;=18,Fsw,1.5*Fsw-$C$2/36*Fsw)),D6*($C$2-(Vout_typ+1*C6)-(L6-F6/2)*(Z6+LoDCR)/1000)/(Lo*IF($C$2&lt;=18,Fsw,1.5*Fsw-$C$2/36*Fsw))))</f>
        <v>0.27493506493506492</v>
      </c>
      <c r="G6" s="126">
        <f t="shared" ca="1" si="1"/>
        <v>0.27383201858609224</v>
      </c>
      <c r="H6" s="126">
        <f t="shared" ca="1" si="2"/>
        <v>0.16761784636922916</v>
      </c>
      <c r="I6" s="218">
        <f t="shared" ca="1" si="3"/>
        <v>0.82531635092910538</v>
      </c>
      <c r="J6" s="218">
        <f t="shared" ca="1" si="4"/>
        <v>6.4988661291390581E-2</v>
      </c>
      <c r="K6" s="218" t="str">
        <f t="shared" ca="1" si="5"/>
        <v>CCM</v>
      </c>
      <c r="L6" s="126">
        <f t="shared" ca="1" si="6"/>
        <v>0.815701857637535</v>
      </c>
      <c r="M6" s="126">
        <f>$C$2*Constants!$C$20/1000</f>
        <v>2.7E-2</v>
      </c>
      <c r="N6" s="126">
        <f>0.5*$C$2*IF($C$2&lt;=18,Fsw,1.5*Fsw-$C$2/36*Fsw)*($C$2/Constants!$C$25+$C$2/Constants!$C$26)*10^-3*($B6/(1-Efficiency!E6))</f>
        <v>6.6811279826464228E-3</v>
      </c>
      <c r="O6" s="218">
        <f ca="1">0.5*(Vout_typ+$C6)*IF($C$2&lt;=18,Fsw,1.5*Fsw-$C$2/36*Fsw)*((Vout_typ+$C6)/Constants!$C$25+(Vout_typ+$C6)/Constants!$C$26)*10^-3*IF($C$2&lt;=Vin_mode,$B6/(1-E6),0)</f>
        <v>2.819519257957448E-2</v>
      </c>
      <c r="P6" s="218">
        <f t="shared" ca="1" si="7"/>
        <v>5.8471705361844602E-2</v>
      </c>
      <c r="Q6" s="126">
        <f t="shared" ca="1" si="8"/>
        <v>7.8920467935084948E-3</v>
      </c>
      <c r="R6" s="126">
        <f>IF($C$2&lt;=Vin_mode,Fsw*$C$2*Qg_boost/1000,0)+Constants!$D$24*$C$2*IF(Efficiency!$C$2&lt;=18,Fsw,1.5*Fsw-Efficiency!$C$2/36*Fsw)/1000</f>
        <v>2.8080000000000001E-2</v>
      </c>
      <c r="S6" s="126">
        <f t="shared" ref="S6:S13" ca="1" si="50">SUM(M6,N6,P6,R6)</f>
        <v>0.12023283334449103</v>
      </c>
      <c r="T6" s="126">
        <f t="shared" ca="1" si="9"/>
        <v>4.1534369184015651E-2</v>
      </c>
      <c r="U6" s="126">
        <f t="shared" ca="1" si="10"/>
        <v>0.10108617859374711</v>
      </c>
      <c r="V6" s="126">
        <f>IF($C$2&gt;(5+Design!$B$26),0,Vout_typ*Constants!$D$24*Fsw/1000)</f>
        <v>0</v>
      </c>
      <c r="W6" s="126">
        <f ca="1">(B6/(1-E6))^2*LoDCR/1000*(1+(Y6-25)*Constants!C$31/100)</f>
        <v>2.345964387450394E-2</v>
      </c>
      <c r="X6" s="126">
        <f>IF(Snubber=1,0.5*Snubber!$B$16/1000000000000*$C$2^2*IF($C$2&lt;=18,Fsw,1.5*Fsw-$C$2/36*Fsw)*1000000,0)</f>
        <v>0</v>
      </c>
      <c r="Y6" s="127">
        <f ca="1">S6*Design!$C$13+A6</f>
        <v>29.44861483374617</v>
      </c>
      <c r="Z6" s="127">
        <f ca="1">Constants!$D$21+Constants!$D$21*Constants!$C$22/100*(Y6-25)</f>
        <v>113.18075960612852</v>
      </c>
      <c r="AA6" s="127">
        <f ca="1">Rds_boost_max+Constants!$C$22*Rds_boost_max/100*(Y6-25)</f>
        <v>22.636151921225704</v>
      </c>
      <c r="AB6" s="126">
        <f t="shared" ca="1" si="11"/>
        <v>0.32240026436984071</v>
      </c>
      <c r="AC6" s="126">
        <f t="shared" si="12"/>
        <v>3.5966433566433578</v>
      </c>
      <c r="AD6" s="276">
        <f t="shared" ca="1" si="13"/>
        <v>91.773496405061962</v>
      </c>
      <c r="AE6" s="270">
        <f t="shared" si="42"/>
        <v>0.30000000000000004</v>
      </c>
      <c r="AF6" s="220">
        <f ca="1">FORECAST(AE6, OFFSET(Design!$C$19:$C$21,MATCH(AE6,Design!$B$19:$B$21,1)-1,0,2), OFFSET(Design!$B$19:$B$21,MATCH(AE6,Design!$B$19:$B$21,1)-1,0,2))+(BB6-25)*Design!$B$22/1000</f>
        <v>0.336445526172448</v>
      </c>
      <c r="AG6" s="220">
        <f t="shared" ca="1" si="14"/>
        <v>0.8202613680439369</v>
      </c>
      <c r="AH6" s="220">
        <f>MAX(0,(1-1.844*Efficiency!$AF$2/RNG))</f>
        <v>0.20971428571428574</v>
      </c>
      <c r="AI6" s="128">
        <f>IF($AF$2&lt;=Vin_mode,MAX(Efficiency!$AF$2*AH6/(Fsw*Lo),(Efficiency!$AF$2*AH6/(Fsw*Lo)+(Efficiency!$AF$2-Vout_typ)*(1.844*Vout_typ/RNG-AH6)/(Fsw*Lo))),IF(AN6="DCM",AG6*($AF$2-Vout_typ)/(Lo*IF($AF$2&lt;=18,Fsw,1.5*Fsw-$AF$2/36*Fsw)),AG6*($AF$2-(Vout_typ+1*AF6)-(AO6-AI6/2)*(BC6+LoDCR)/1000)/(Lo*IF($AF$2&lt;=18,Fsw,1.5*Fsw-$AF$2/36*Fsw))))</f>
        <v>0.19114084000339554</v>
      </c>
      <c r="AJ6" s="128">
        <f t="shared" ca="1" si="15"/>
        <v>0.19038262986964044</v>
      </c>
      <c r="AK6" s="128">
        <f t="shared" ca="1" si="16"/>
        <v>0.17408888410450321</v>
      </c>
      <c r="AL6" s="220">
        <f t="shared" ca="1" si="17"/>
        <v>0.81855981983669246</v>
      </c>
      <c r="AM6" s="220">
        <f t="shared" ca="1" si="43"/>
        <v>0.12690875865844256</v>
      </c>
      <c r="AN6" s="220" t="str">
        <f t="shared" ca="1" si="44"/>
        <v>CCM</v>
      </c>
      <c r="AO6" s="128">
        <f t="shared" ca="1" si="20"/>
        <v>0.40134560300542321</v>
      </c>
      <c r="AP6" s="128">
        <f>$AF$2*Constants!$C$20/1000</f>
        <v>5.3999999999999999E-2</v>
      </c>
      <c r="AQ6" s="128">
        <f>0.5*$AF$2*IF($AF$2&lt;=18,Fsw,1.5*Fsw-$AF$2/36*Fsw)*($AF$2/Constants!$C$25+$AF$2/Constants!$C$26)*10^-3*IF($AF$2&lt;=Vin_mode,$AE6/(1-Efficiency!AH6),$AE6)</f>
        <v>1.3362255965292846E-2</v>
      </c>
      <c r="AR6" s="220">
        <f ca="1">0.5*(Vout_typ+$AF6)*IF($AF$2&lt;=18,Fsw,1.5*Fsw-$AF$2/36*Fsw)*((Vout_typ+$AF6)/Constants!$C$25+(Vout_typ+$AF6)/Constants!$C$26)*10^-3*IF($AF$2&lt;=Vin_mode,$AE6/(1-AH6),0)</f>
        <v>1.4096433342912988E-2</v>
      </c>
      <c r="AS6" s="220">
        <f t="shared" ca="1" si="21"/>
        <v>1.3886336614859343E-2</v>
      </c>
      <c r="AT6" s="128">
        <f t="shared" ca="1" si="22"/>
        <v>6.8682315100536601E-4</v>
      </c>
      <c r="AU6" s="128">
        <f>IF($AF$2&lt;=Vin_mode,Fsw*$AF$2*Qg_boost/1000,0)+Constants!$D$24*$AF$2*IF(Efficiency!$AF$2&lt;=18,Fsw,1.5*Fsw-Efficiency!$AF$2/36*Fsw)/1000</f>
        <v>5.6160000000000002E-2</v>
      </c>
      <c r="AV6" s="128">
        <f t="shared" ca="1" si="45"/>
        <v>0.1374085925801522</v>
      </c>
      <c r="AW6" s="128">
        <f t="shared" ca="1" si="46"/>
        <v>2.2955846540879364E-2</v>
      </c>
      <c r="AX6" s="128">
        <f t="shared" ca="1" si="23"/>
        <v>0.1009336578517344</v>
      </c>
      <c r="AY6" s="128">
        <f>IF($AF$2&gt;(5+Design!$B$26),0,Vout_typ*Constants!$D$24*Fsw/1000)</f>
        <v>0</v>
      </c>
      <c r="AZ6" s="128">
        <f ca="1">(AE6/(1-AH6))^2*LoDCR/1000*(1+(BB6-25)*Constants!C$31/100)</f>
        <v>5.8793070554094577E-3</v>
      </c>
      <c r="BA6" s="128">
        <f>IF(Snubber=1,0.5*Snubber!$B$16/1000000000000*$AF$2^2*IF($AF$2&lt;=18,Fsw,1.5*Fsw-$AF$2/36*Fsw)*1000000,0)</f>
        <v>0</v>
      </c>
      <c r="BB6" s="129">
        <f ca="1">AV6*Design!$C$13+A6</f>
        <v>30.08411792546563</v>
      </c>
      <c r="BC6" s="129">
        <f ca="1">Constants!$D$21+Constants!$D$21*Constants!$C$22/100*(BB6-25)</f>
        <v>113.63514431670792</v>
      </c>
      <c r="BD6" s="129">
        <f ca="1">Rds_boost_max+Constants!$C$22*Rds_boost_max/100*(BB6-25)</f>
        <v>22.727028863341584</v>
      </c>
      <c r="BE6" s="128">
        <f t="shared" ca="1" si="47"/>
        <v>0.28196066052209379</v>
      </c>
      <c r="BF6" s="128">
        <f t="shared" si="24"/>
        <v>3.5966433566433578</v>
      </c>
      <c r="BG6" s="285">
        <f t="shared" ca="1" si="48"/>
        <v>92.73035712657888</v>
      </c>
      <c r="BH6" s="284">
        <f t="shared" si="49"/>
        <v>0.30000000000000004</v>
      </c>
      <c r="BI6" s="272">
        <f ca="1">FORECAST(BH6, OFFSET(Design!$C$19:$C$21,MATCH(BH6,Design!$B$19:$B$21,1)-1,0,2), OFFSET(Design!$B$19:$B$21,MATCH(BH6,Design!$B$19:$B$21,1)-1,0,2))+(CE6-25)*Design!$B$22/1000</f>
        <v>0.33553799801140793</v>
      </c>
      <c r="BJ6" s="272">
        <f t="shared" ca="1" si="26"/>
        <v>0.62419387084645883</v>
      </c>
      <c r="BK6" s="272">
        <f>MAX(0,(1-1.844*Efficiency!$BI$2/RNG))</f>
        <v>0</v>
      </c>
      <c r="BL6" s="130">
        <f ca="1">IF($BI$2&lt;=Vin_mode,MAX(Efficiency!$BI$2*BK6/(Fsw*Lo),(Efficiency!$BI$2*BK6/(Fsw*Lo)+(Efficiency!$BI$2-Vout_typ)*(1.844*Vout_typ/RNG-BK6)/(Fsw*Lo))),IF(BQ6="DCM",BJ6*($BI$2-Vout_typ)/(Lo*IF($BI$2&lt;=18,Fsw,1.5*Fsw-$BI$2/36*Fsw)),BJ6*($BI$2-(Vout_typ+1*BI6)-(BR6-BL6/2)*(CF6+LoDCR)/1000)/(Lo*IF($BI$2&lt;=18,Fsw,1.5*Fsw-$BI$2/36*Fsw))))</f>
        <v>0.38199247636386352</v>
      </c>
      <c r="BM6" s="130">
        <f t="shared" si="27"/>
        <v>0</v>
      </c>
      <c r="BN6" s="130">
        <f t="shared" ca="1" si="28"/>
        <v>0.38246761016399305</v>
      </c>
      <c r="BO6" s="221">
        <f t="shared" ca="1" si="29"/>
        <v>0.62359720117876305</v>
      </c>
      <c r="BP6" s="221">
        <f t="shared" ca="1" si="30"/>
        <v>0.19123380508199653</v>
      </c>
      <c r="BQ6" s="221" t="str">
        <f t="shared" ca="1" si="31"/>
        <v>CCM</v>
      </c>
      <c r="BR6" s="130">
        <f t="shared" ca="1" si="32"/>
        <v>0.49099623818193183</v>
      </c>
      <c r="BS6" s="130">
        <f>$BI$2*Constants!$C$20/1000</f>
        <v>0.09</v>
      </c>
      <c r="BT6" s="130">
        <f>0.5*$BI$2*IF($BI$2&lt;=18,Fsw,1.5*Fsw-$BI$2/36*Fsw)*($BI$2/Constants!$C$25+$BI$2/Constants!$C$26)*10^-3*IF($BI$2&lt;=Vin_mode,$BH6/(1-Efficiency!BK6),$BH6)</f>
        <v>2.7703703703703713E-2</v>
      </c>
      <c r="BU6" s="221">
        <f ca="1">0.5*(Vout_typ+$BI6)*IF($BI$2&lt;=18,Fsw,1.5*Fsw-$BI$2/36*Fsw)*((Vout_typ+$BI6)/Constants!$C$25+(Vout_typ+$BI6)/Constants!$C$26)*10^-3*IF($BI$2&lt;=Vin_mode,$BH6/(1-BK6),0)</f>
        <v>0</v>
      </c>
      <c r="BV6" s="221">
        <f t="shared" ca="1" si="33"/>
        <v>7.297957380054977E-3</v>
      </c>
      <c r="BW6" s="130">
        <f t="shared" ca="1" si="34"/>
        <v>0</v>
      </c>
      <c r="BX6" s="130">
        <f>IF($BI$2&lt;=Vin_mode,Fsw*$BI$2*Qg_boost/1000,0)+Constants!$D$24*$BI$2*IF(Efficiency!$BI$2&lt;=18,Fsw,1.5*Fsw-Efficiency!$BI$2/36*Fsw)/1000</f>
        <v>4.3066666666666677E-2</v>
      </c>
      <c r="BY6" s="130">
        <f t="shared" ca="1" si="35"/>
        <v>0.16806832775042535</v>
      </c>
      <c r="BZ6" s="130">
        <f t="shared" ca="1" si="36"/>
        <v>3.7829170864978751E-2</v>
      </c>
      <c r="CA6" s="130">
        <f t="shared" ca="1" si="37"/>
        <v>0.10066139940342239</v>
      </c>
      <c r="CB6" s="130">
        <f>IF($BI$2&gt;(5+Design!$B$26),0,Vout_typ*Constants!$D$24*Fsw/1000)</f>
        <v>0</v>
      </c>
      <c r="CC6" s="130">
        <f ca="1">(BH6/(1-BK6))^2*LoDCR/1000*(1+(CE6-25)*Constants!C$31/100)</f>
        <v>3.6879797359374825E-3</v>
      </c>
      <c r="CD6" s="130">
        <f>IF(Snubber,0.5*Snubber!$B$16/1000000000000*$BI$2^2*IF($BI$2&lt;=18,Fsw,1.5*Fsw-$BI$2/36*Fsw)*1000000,0)</f>
        <v>0</v>
      </c>
      <c r="CE6" s="131">
        <f ca="1">BY6*Design!$C$13+A6</f>
        <v>31.21852812676574</v>
      </c>
      <c r="CF6" s="131">
        <f ca="1">Constants!$D$21+Constants!$D$21*Constants!$C$22/100*(CE6-25)</f>
        <v>114.4462476106375</v>
      </c>
      <c r="CG6" s="131">
        <f ca="1">Rds_boost_max+Constants!$C$22*Rds_boost_max/100*(CE6-25)</f>
        <v>22.8892495221275</v>
      </c>
      <c r="CH6" s="130">
        <f t="shared" ca="1" si="38"/>
        <v>0.31024687775476401</v>
      </c>
      <c r="CI6" s="130">
        <f t="shared" si="39"/>
        <v>3.5966433566433578</v>
      </c>
      <c r="CJ6" s="286">
        <f t="shared" ca="1" si="40"/>
        <v>92.05898146246335</v>
      </c>
    </row>
    <row r="7" spans="1:88" s="96" customFormat="1" ht="13.5" thickBot="1" x14ac:dyDescent="0.25">
      <c r="A7" s="95">
        <v>25</v>
      </c>
      <c r="B7" s="269">
        <f t="shared" si="41"/>
        <v>0.4</v>
      </c>
      <c r="C7" s="218">
        <f ca="1">FORECAST(B7, OFFSET(Design!$C$19:$C$21,MATCH(B7,Design!$B$19:$B$21,1)-1,0,2), OFFSET(Design!$B$19:$B$21,MATCH(B7,Design!$B$19:$B$21,1)-1,0,2))+(Y7-25)*Design!$B$22/1000</f>
        <v>0.34377808181642822</v>
      </c>
      <c r="D7" s="250">
        <f t="shared" ca="1" si="0"/>
        <v>0.84439852827211426</v>
      </c>
      <c r="E7" s="218">
        <f>MAX(0,(1-1.844*Efficiency!$C$2/RNG))</f>
        <v>0.60485714285714287</v>
      </c>
      <c r="F7" s="126">
        <f>IF($C$2&lt;=Vin_mode,MAX(Efficiency!$C$2*E7/(Fsw*Lo),(Efficiency!$C$2*E7/(Fsw*Lo)+(Efficiency!$C$2-Vout_typ)*(1.844*Vout_typ/RNG-E7)/(Fsw*Lo))),IF(K7="DCM",D7*($C$2-Vout_typ)/(Lo*IF($C$2&lt;=18,Fsw,1.5*Fsw-$C$2/36*Fsw)),D7*($C$2-(Vout_typ+1*C7)-(L7-F7/2)*(Z7+LoDCR)/1000)/(Lo*IF($C$2&lt;=18,Fsw,1.5*Fsw-$C$2/36*Fsw))))</f>
        <v>0.27493506493506492</v>
      </c>
      <c r="G7" s="126">
        <f t="shared" ca="1" si="1"/>
        <v>0.2738227640285496</v>
      </c>
      <c r="H7" s="126">
        <f t="shared" ca="1" si="2"/>
        <v>0.16718033160535511</v>
      </c>
      <c r="I7" s="218">
        <f t="shared" ca="1" si="3"/>
        <v>0.82595972539807216</v>
      </c>
      <c r="J7" s="218">
        <f t="shared" ca="1" si="4"/>
        <v>6.5825999071092933E-2</v>
      </c>
      <c r="K7" s="218" t="str">
        <f t="shared" ca="1" si="5"/>
        <v>CCM</v>
      </c>
      <c r="L7" s="126">
        <f t="shared" ca="1" si="6"/>
        <v>1.066424820161693</v>
      </c>
      <c r="M7" s="126">
        <f>$C$2*Constants!$C$20/1000</f>
        <v>2.7E-2</v>
      </c>
      <c r="N7" s="126">
        <f>0.5*$C$2*IF($C$2&lt;=18,Fsw,1.5*Fsw-$C$2/36*Fsw)*($C$2/Constants!$C$25+$C$2/Constants!$C$26)*10^-3*($B7/(1-Efficiency!E7))</f>
        <v>8.908170643528562E-3</v>
      </c>
      <c r="O7" s="218">
        <f ca="1">0.5*(Vout_typ+$C7)*IF($C$2&lt;=18,Fsw,1.5*Fsw-$C$2/36*Fsw)*((Vout_typ+$C7)/Constants!$C$25+(Vout_typ+$C7)/Constants!$C$26)*10^-3*IF($C$2&lt;=Vin_mode,$B7/(1-E7),0)</f>
        <v>3.7635228971112586E-2</v>
      </c>
      <c r="P7" s="218">
        <f t="shared" ca="1" si="7"/>
        <v>0.10289922467810911</v>
      </c>
      <c r="Q7" s="126">
        <f t="shared" ca="1" si="8"/>
        <v>1.418330716225949E-2</v>
      </c>
      <c r="R7" s="126">
        <f>IF($C$2&lt;=Vin_mode,Fsw*$C$2*Qg_boost/1000,0)+Constants!$D$24*$C$2*IF(Efficiency!$C$2&lt;=18,Fsw,1.5*Fsw-Efficiency!$C$2/36*Fsw)/1000</f>
        <v>2.8080000000000001E-2</v>
      </c>
      <c r="S7" s="126">
        <f t="shared" ca="1" si="50"/>
        <v>0.16688739532163765</v>
      </c>
      <c r="T7" s="126">
        <f t="shared" ca="1" si="9"/>
        <v>5.4149910101081743E-2</v>
      </c>
      <c r="U7" s="126">
        <f t="shared" ca="1" si="10"/>
        <v>0.13751123272657129</v>
      </c>
      <c r="V7" s="126">
        <f>IF($C$2&gt;(5+Design!$B$26),0,Vout_typ*Constants!$D$24*Fsw/1000)</f>
        <v>0</v>
      </c>
      <c r="W7" s="126">
        <f ca="1">(B7/(1-E7))^2*LoDCR/1000*(1+(Y7-25)*Constants!C$31/100)</f>
        <v>4.1984107368449132E-2</v>
      </c>
      <c r="X7" s="126">
        <f>IF(Snubber=1,0.5*Snubber!$B$16/1000000000000*$C$2^2*IF($C$2&lt;=18,Fsw,1.5*Fsw-$C$2/36*Fsw)*1000000,0)</f>
        <v>0</v>
      </c>
      <c r="Y7" s="127">
        <f ca="1">S7*Design!$C$13+A7</f>
        <v>31.174833626900593</v>
      </c>
      <c r="Z7" s="127">
        <f ca="1">Constants!$D$21+Constants!$D$21*Constants!$C$22/100*(Y7-25)</f>
        <v>114.41500604323393</v>
      </c>
      <c r="AA7" s="127">
        <f ca="1">Rds_boost_max+Constants!$C$22*Rds_boost_max/100*(Y7-25)</f>
        <v>22.883001208646785</v>
      </c>
      <c r="AB7" s="126">
        <f t="shared" ca="1" si="11"/>
        <v>0.45235118165111188</v>
      </c>
      <c r="AC7" s="126">
        <f t="shared" si="12"/>
        <v>4.7955244755244761</v>
      </c>
      <c r="AD7" s="276">
        <f t="shared" ca="1" si="13"/>
        <v>91.380299168624589</v>
      </c>
      <c r="AE7" s="270">
        <f t="shared" si="42"/>
        <v>0.4</v>
      </c>
      <c r="AF7" s="220">
        <f ca="1">FORECAST(AE7, OFFSET(Design!$C$19:$C$21,MATCH(AE7,Design!$B$19:$B$21,1)-1,0,2), OFFSET(Design!$B$19:$B$21,MATCH(AE7,Design!$B$19:$B$21,1)-1,0,2))+(BB7-25)*Design!$B$22/1000</f>
        <v>0.3442052579397592</v>
      </c>
      <c r="AG7" s="220">
        <f t="shared" ca="1" si="14"/>
        <v>0.82230289552313773</v>
      </c>
      <c r="AH7" s="220">
        <f>MAX(0,(1-1.844*Efficiency!$AF$2/RNG))</f>
        <v>0.20971428571428574</v>
      </c>
      <c r="AI7" s="128">
        <f>IF($AF$2&lt;=Vin_mode,MAX(Efficiency!$AF$2*AH7/(Fsw*Lo),(Efficiency!$AF$2*AH7/(Fsw*Lo)+(Efficiency!$AF$2-Vout_typ)*(1.844*Vout_typ/RNG-AH7)/(Fsw*Lo))),IF(AN7="DCM",AG7*($AF$2-Vout_typ)/(Lo*IF($AF$2&lt;=18,Fsw,1.5*Fsw-$AF$2/36*Fsw)),AG7*($AF$2-(Vout_typ+1*AF7)-(AO7-AI7/2)*(BC7+LoDCR)/1000)/(Lo*IF($AF$2&lt;=18,Fsw,1.5*Fsw-$AF$2/36*Fsw))))</f>
        <v>0.19114084000339554</v>
      </c>
      <c r="AJ7" s="128">
        <f t="shared" ca="1" si="15"/>
        <v>0.19038190845359718</v>
      </c>
      <c r="AK7" s="128">
        <f t="shared" ca="1" si="16"/>
        <v>0.17371142676240994</v>
      </c>
      <c r="AL7" s="220">
        <f t="shared" ca="1" si="17"/>
        <v>0.81917468525873904</v>
      </c>
      <c r="AM7" s="220">
        <f t="shared" ca="1" si="43"/>
        <v>0.12695372380543346</v>
      </c>
      <c r="AN7" s="220" t="str">
        <f t="shared" ca="1" si="44"/>
        <v>CCM</v>
      </c>
      <c r="AO7" s="128">
        <f t="shared" ca="1" si="20"/>
        <v>0.52763523289146341</v>
      </c>
      <c r="AP7" s="128">
        <f>$AF$2*Constants!$C$20/1000</f>
        <v>5.3999999999999999E-2</v>
      </c>
      <c r="AQ7" s="128">
        <f>0.5*$AF$2*IF($AF$2&lt;=18,Fsw,1.5*Fsw-$AF$2/36*Fsw)*($AF$2/Constants!$C$25+$AF$2/Constants!$C$26)*10^-3*IF($AF$2&lt;=Vin_mode,$AE7/(1-Efficiency!AH7),$AE7)</f>
        <v>1.7816341287057124E-2</v>
      </c>
      <c r="AR7" s="220">
        <f ca="1">0.5*(Vout_typ+$AF7)*IF($AF$2&lt;=18,Fsw,1.5*Fsw-$AF$2/36*Fsw)*((Vout_typ+$AF7)/Constants!$C$25+(Vout_typ+$AF7)/Constants!$C$26)*10^-3*IF($AF$2&lt;=Vin_mode,$AE7/(1-AH7),0)</f>
        <v>1.8818918116877751E-2</v>
      </c>
      <c r="AS7" s="220">
        <f t="shared" ca="1" si="21"/>
        <v>2.4479428246371747E-2</v>
      </c>
      <c r="AT7" s="128">
        <f t="shared" ca="1" si="22"/>
        <v>1.2252962628297426E-3</v>
      </c>
      <c r="AU7" s="128">
        <f>IF($AF$2&lt;=Vin_mode,Fsw*$AF$2*Qg_boost/1000,0)+Constants!$D$24*$AF$2*IF(Efficiency!$AF$2&lt;=18,Fsw,1.5*Fsw-Efficiency!$AF$2/36*Fsw)/1000</f>
        <v>5.6160000000000002E-2</v>
      </c>
      <c r="AV7" s="128">
        <f t="shared" ca="1" si="45"/>
        <v>0.15245576953342888</v>
      </c>
      <c r="AW7" s="128">
        <f t="shared" ca="1" si="46"/>
        <v>3.0958058117949896E-2</v>
      </c>
      <c r="AX7" s="128">
        <f t="shared" ca="1" si="23"/>
        <v>0.13768210317590368</v>
      </c>
      <c r="AY7" s="128">
        <f>IF($AF$2&gt;(5+Design!$B$26),0,Vout_typ*Constants!$D$24*Fsw/1000)</f>
        <v>0</v>
      </c>
      <c r="AZ7" s="128">
        <f ca="1">(AE7/(1-AH7))^2*LoDCR/1000*(1+(BB7-25)*Constants!C$31/100)</f>
        <v>1.0474522743414105E-2</v>
      </c>
      <c r="BA7" s="128">
        <f>IF(Snubber=1,0.5*Snubber!$B$16/1000000000000*$AF$2^2*IF($AF$2&lt;=18,Fsw,1.5*Fsw-$AF$2/36*Fsw)*1000000,0)</f>
        <v>0</v>
      </c>
      <c r="BB7" s="129">
        <f ca="1">AV7*Design!$C$13+A7</f>
        <v>30.640863472736868</v>
      </c>
      <c r="BC7" s="129">
        <f ca="1">Constants!$D$21+Constants!$D$21*Constants!$C$22/100*(BB7-25)</f>
        <v>114.03321738300686</v>
      </c>
      <c r="BD7" s="129">
        <f ca="1">Rds_boost_max+Constants!$C$22*Rds_boost_max/100*(BB7-25)</f>
        <v>22.806643476601373</v>
      </c>
      <c r="BE7" s="128">
        <f t="shared" ca="1" si="47"/>
        <v>0.35161466795040403</v>
      </c>
      <c r="BF7" s="128">
        <f t="shared" si="24"/>
        <v>4.7955244755244761</v>
      </c>
      <c r="BG7" s="285">
        <f t="shared" ca="1" si="48"/>
        <v>93.168735910391078</v>
      </c>
      <c r="BH7" s="284">
        <f t="shared" si="49"/>
        <v>0.4</v>
      </c>
      <c r="BI7" s="272">
        <f ca="1">FORECAST(BH7, OFFSET(Design!$C$19:$C$21,MATCH(BH7,Design!$B$19:$B$21,1)-1,0,2), OFFSET(Design!$B$19:$B$21,MATCH(BH7,Design!$B$19:$B$21,1)-1,0,2))+(CE7-25)*Design!$B$22/1000</f>
        <v>0.34331999983062955</v>
      </c>
      <c r="BJ7" s="272">
        <f t="shared" ca="1" si="26"/>
        <v>0.62527502514947531</v>
      </c>
      <c r="BK7" s="272">
        <f>MAX(0,(1-1.844*Efficiency!$BI$2/RNG))</f>
        <v>0</v>
      </c>
      <c r="BL7" s="130">
        <f ca="1">IF($BI$2&lt;=Vin_mode,MAX(Efficiency!$BI$2*BK7/(Fsw*Lo),(Efficiency!$BI$2*BK7/(Fsw*Lo)+(Efficiency!$BI$2-Vout_typ)*(1.844*Vout_typ/RNG-BK7)/(Fsw*Lo))),IF(BQ7="DCM",BJ7*($BI$2-Vout_typ)/(Lo*IF($BI$2&lt;=18,Fsw,1.5*Fsw-$BI$2/36*Fsw)),BJ7*($BI$2-(Vout_typ+1*BI7)-(BR7-BL7/2)*(CF7+LoDCR)/1000)/(Lo*IF($BI$2&lt;=18,Fsw,1.5*Fsw-$BI$2/36*Fsw))))</f>
        <v>0.38148158241312835</v>
      </c>
      <c r="BM7" s="130">
        <f t="shared" si="27"/>
        <v>0</v>
      </c>
      <c r="BN7" s="130">
        <f t="shared" ca="1" si="28"/>
        <v>0.38239918235503995</v>
      </c>
      <c r="BO7" s="221">
        <f t="shared" ca="1" si="29"/>
        <v>0.62412632154562886</v>
      </c>
      <c r="BP7" s="221">
        <f t="shared" ca="1" si="30"/>
        <v>0.19119959117751997</v>
      </c>
      <c r="BQ7" s="221" t="str">
        <f t="shared" ca="1" si="31"/>
        <v>CCM</v>
      </c>
      <c r="BR7" s="130">
        <f t="shared" ca="1" si="32"/>
        <v>0.5907407912065642</v>
      </c>
      <c r="BS7" s="130">
        <f>$BI$2*Constants!$C$20/1000</f>
        <v>0.09</v>
      </c>
      <c r="BT7" s="130">
        <f>0.5*$BI$2*IF($BI$2&lt;=18,Fsw,1.5*Fsw-$BI$2/36*Fsw)*($BI$2/Constants!$C$25+$BI$2/Constants!$C$26)*10^-3*IF($BI$2&lt;=Vin_mode,$BH7/(1-Efficiency!BK7),$BH7)</f>
        <v>3.6938271604938282E-2</v>
      </c>
      <c r="BU7" s="221">
        <f ca="1">0.5*(Vout_typ+$BI7)*IF($BI$2&lt;=18,Fsw,1.5*Fsw-$BI$2/36*Fsw)*((Vout_typ+$BI7)/Constants!$C$25+(Vout_typ+$BI7)/Constants!$C$26)*10^-3*IF($BI$2&lt;=Vin_mode,$BH7/(1-BK7),0)</f>
        <v>0</v>
      </c>
      <c r="BV7" s="221">
        <f t="shared" ca="1" si="33"/>
        <v>1.2358199813501674E-2</v>
      </c>
      <c r="BW7" s="130">
        <f t="shared" ca="1" si="34"/>
        <v>0</v>
      </c>
      <c r="BX7" s="130">
        <f>IF($BI$2&lt;=Vin_mode,Fsw*$BI$2*Qg_boost/1000,0)+Constants!$D$24*$BI$2*IF(Efficiency!$BI$2&lt;=18,Fsw,1.5*Fsw-Efficiency!$BI$2/36*Fsw)/1000</f>
        <v>4.3066666666666677E-2</v>
      </c>
      <c r="BY7" s="130">
        <f t="shared" ca="1" si="35"/>
        <v>0.18236313808510662</v>
      </c>
      <c r="BZ7" s="130">
        <f t="shared" ca="1" si="36"/>
        <v>5.1460231320885924E-2</v>
      </c>
      <c r="CA7" s="130">
        <f t="shared" ca="1" si="37"/>
        <v>0.13732799993225184</v>
      </c>
      <c r="CB7" s="130">
        <f>IF($BI$2&gt;(5+Design!$B$26),0,Vout_typ*Constants!$D$24*Fsw/1000)</f>
        <v>0</v>
      </c>
      <c r="CC7" s="130">
        <f ca="1">(BH7/(1-BK7))^2*LoDCR/1000*(1+(CE7-25)*Constants!C$31/100)</f>
        <v>6.5697115130173159E-3</v>
      </c>
      <c r="CD7" s="130">
        <f>IF(Snubber,0.5*Snubber!$B$16/1000000000000*$BI$2^2*IF($BI$2&lt;=18,Fsw,1.5*Fsw-$BI$2/36*Fsw)*1000000,0)</f>
        <v>0</v>
      </c>
      <c r="CE7" s="131">
        <f ca="1">BY7*Design!$C$13+A7</f>
        <v>31.747436109148946</v>
      </c>
      <c r="CF7" s="131">
        <f ca="1">Constants!$D$21+Constants!$D$21*Constants!$C$22/100*(CE7-25)</f>
        <v>114.8244168180415</v>
      </c>
      <c r="CG7" s="131">
        <f ca="1">Rds_boost_max+Constants!$C$22*Rds_boost_max/100*(CE7-25)</f>
        <v>22.964883363608301</v>
      </c>
      <c r="CH7" s="130">
        <f t="shared" ca="1" si="38"/>
        <v>0.37772108085126171</v>
      </c>
      <c r="CI7" s="130">
        <f t="shared" si="39"/>
        <v>4.7955244755244761</v>
      </c>
      <c r="CJ7" s="286">
        <f t="shared" ca="1" si="40"/>
        <v>92.698566562614815</v>
      </c>
    </row>
    <row r="8" spans="1:88" s="96" customFormat="1" ht="13.5" thickBot="1" x14ac:dyDescent="0.25">
      <c r="A8" s="95">
        <v>25</v>
      </c>
      <c r="B8" s="269">
        <f t="shared" si="41"/>
        <v>0.5</v>
      </c>
      <c r="C8" s="218">
        <f ca="1">FORECAST(B8, OFFSET(Design!$C$19:$C$21,MATCH(B8,Design!$B$19:$B$21,1)-1,0,2), OFFSET(Design!$B$19:$B$21,MATCH(B8,Design!$B$19:$B$21,1)-1,0,2))+(Y8-25)*Design!$B$22/1000</f>
        <v>0.35016307688301618</v>
      </c>
      <c r="D8" s="250">
        <f t="shared" ca="1" si="0"/>
        <v>0.85133232482853682</v>
      </c>
      <c r="E8" s="218">
        <f>MAX(0,(1-1.844*Efficiency!$C$2/RNG))</f>
        <v>0.60485714285714287</v>
      </c>
      <c r="F8" s="126">
        <f>IF($C$2&lt;=Vin_mode,MAX(Efficiency!$C$2*E8/(Fsw*Lo),(Efficiency!$C$2*E8/(Fsw*Lo)+(Efficiency!$C$2-Vout_typ)*(1.844*Vout_typ/RNG-E8)/(Fsw*Lo))),IF(K8="DCM",D8*($C$2-Vout_typ)/(Lo*IF($C$2&lt;=18,Fsw,1.5*Fsw-$C$2/36*Fsw)),D8*($C$2-(Vout_typ+1*C8)-(L8-F8/2)*(Z8+LoDCR)/1000)/(Lo*IF($C$2&lt;=18,Fsw,1.5*Fsw-$C$2/36*Fsw))))</f>
        <v>0.27493506493506492</v>
      </c>
      <c r="G8" s="126">
        <f t="shared" ca="1" si="1"/>
        <v>0.27381056742332782</v>
      </c>
      <c r="H8" s="126">
        <f t="shared" ca="1" si="2"/>
        <v>0.16676037869695423</v>
      </c>
      <c r="I8" s="218">
        <f t="shared" ca="1" si="3"/>
        <v>0.82657145878376703</v>
      </c>
      <c r="J8" s="218">
        <f t="shared" ca="1" si="4"/>
        <v>6.669084096394734E-2</v>
      </c>
      <c r="K8" s="218" t="str">
        <f t="shared" ca="1" si="5"/>
        <v>CCM</v>
      </c>
      <c r="L8" s="126">
        <f t="shared" ca="1" si="6"/>
        <v>1.3170856287941215</v>
      </c>
      <c r="M8" s="126">
        <f>$C$2*Constants!$C$20/1000</f>
        <v>2.7E-2</v>
      </c>
      <c r="N8" s="126">
        <f>0.5*$C$2*IF($C$2&lt;=18,Fsw,1.5*Fsw-$C$2/36*Fsw)*($C$2/Constants!$C$25+$C$2/Constants!$C$26)*10^-3*($B8/(1-Efficiency!E8))</f>
        <v>1.1135213304410703E-2</v>
      </c>
      <c r="O8" s="218">
        <f ca="1">0.5*(Vout_typ+$C8)*IF($C$2&lt;=18,Fsw,1.5*Fsw-$C$2/36*Fsw)*((Vout_typ+$C8)/Constants!$C$25+(Vout_typ+$C8)/Constants!$C$26)*10^-3*IF($C$2&lt;=Vin_mode,$B8/(1-E8),0)</f>
        <v>4.7092761374502773E-2</v>
      </c>
      <c r="P8" s="218">
        <f t="shared" ca="1" si="7"/>
        <v>0.16216316642737116</v>
      </c>
      <c r="Q8" s="126">
        <f t="shared" ca="1" si="8"/>
        <v>2.2476506815543248E-2</v>
      </c>
      <c r="R8" s="126">
        <f>IF($C$2&lt;=Vin_mode,Fsw*$C$2*Qg_boost/1000,0)+Constants!$D$24*$C$2*IF(Efficiency!$C$2&lt;=18,Fsw,1.5*Fsw-Efficiency!$C$2/36*Fsw)/1000</f>
        <v>2.8080000000000001E-2</v>
      </c>
      <c r="S8" s="126">
        <f t="shared" ca="1" si="50"/>
        <v>0.22837837973178188</v>
      </c>
      <c r="T8" s="126">
        <f t="shared" ca="1" si="9"/>
        <v>6.5872291033548511E-2</v>
      </c>
      <c r="U8" s="126">
        <f t="shared" ca="1" si="10"/>
        <v>0.17508153844150809</v>
      </c>
      <c r="V8" s="126">
        <f>IF($C$2&gt;(5+Design!$B$26),0,Vout_typ*Constants!$D$24*Fsw/1000)</f>
        <v>0</v>
      </c>
      <c r="W8" s="126">
        <f ca="1">(B8/(1-E8))^2*LoDCR/1000*(1+(Y8-25)*Constants!C$31/100)</f>
        <v>6.6172828553992744E-2</v>
      </c>
      <c r="X8" s="126">
        <f>IF(Snubber=1,0.5*Snubber!$B$16/1000000000000*$C$2^2*IF($C$2&lt;=18,Fsw,1.5*Fsw-$C$2/36*Fsw)*1000000,0)</f>
        <v>0</v>
      </c>
      <c r="Y8" s="127">
        <f ca="1">S8*Design!$C$13+A8</f>
        <v>33.450000050075928</v>
      </c>
      <c r="Z8" s="127">
        <f ca="1">Constants!$D$21+Constants!$D$21*Constants!$C$22/100*(Y8-25)</f>
        <v>116.04175003580428</v>
      </c>
      <c r="AA8" s="127">
        <f ca="1">Rds_boost_max+Constants!$C$22*Rds_boost_max/100*(Y8-25)</f>
        <v>23.20835000716086</v>
      </c>
      <c r="AB8" s="126">
        <f t="shared" ca="1" si="11"/>
        <v>0.6050743059508773</v>
      </c>
      <c r="AC8" s="126">
        <f t="shared" si="12"/>
        <v>5.9944055944055954</v>
      </c>
      <c r="AD8" s="276">
        <f t="shared" ca="1" si="13"/>
        <v>90.831484979320962</v>
      </c>
      <c r="AE8" s="270">
        <f t="shared" si="42"/>
        <v>0.5</v>
      </c>
      <c r="AF8" s="220">
        <f ca="1">FORECAST(AE8, OFFSET(Design!$C$19:$C$21,MATCH(AE8,Design!$B$19:$B$21,1)-1,0,2), OFFSET(Design!$B$19:$B$21,MATCH(AE8,Design!$B$19:$B$21,1)-1,0,2))+(BB8-25)*Design!$B$22/1000</f>
        <v>0.35187100864258131</v>
      </c>
      <c r="AG8" s="220">
        <f t="shared" ca="1" si="14"/>
        <v>0.82434967003136372</v>
      </c>
      <c r="AH8" s="220">
        <f>MAX(0,(1-1.844*Efficiency!$AF$2/RNG))</f>
        <v>0.20971428571428574</v>
      </c>
      <c r="AI8" s="128">
        <f>IF($AF$2&lt;=Vin_mode,MAX(Efficiency!$AF$2*AH8/(Fsw*Lo),(Efficiency!$AF$2*AH8/(Fsw*Lo)+(Efficiency!$AF$2-Vout_typ)*(1.844*Vout_typ/RNG-AH8)/(Fsw*Lo))),IF(AN8="DCM",AG8*($AF$2-Vout_typ)/(Lo*IF($AF$2&lt;=18,Fsw,1.5*Fsw-$AF$2/36*Fsw)),AG8*($AF$2-(Vout_typ+1*AF8)-(AO8-AI8/2)*(BC8+LoDCR)/1000)/(Lo*IF($AF$2&lt;=18,Fsw,1.5*Fsw-$AF$2/36*Fsw))))</f>
        <v>0.19114084000339554</v>
      </c>
      <c r="AJ8" s="128">
        <f t="shared" ca="1" si="15"/>
        <v>0.1903810348221748</v>
      </c>
      <c r="AK8" s="128">
        <f t="shared" ca="1" si="16"/>
        <v>0.17333692721077079</v>
      </c>
      <c r="AL8" s="220">
        <f t="shared" ca="1" si="17"/>
        <v>0.81978230585971634</v>
      </c>
      <c r="AM8" s="220">
        <f t="shared" ca="1" si="43"/>
        <v>0.12700030891873262</v>
      </c>
      <c r="AN8" s="220" t="str">
        <f t="shared" ca="1" si="44"/>
        <v>CCM</v>
      </c>
      <c r="AO8" s="128">
        <f t="shared" ca="1" si="20"/>
        <v>0.65392422824652496</v>
      </c>
      <c r="AP8" s="128">
        <f>$AF$2*Constants!$C$20/1000</f>
        <v>5.3999999999999999E-2</v>
      </c>
      <c r="AQ8" s="128">
        <f>0.5*$AF$2*IF($AF$2&lt;=18,Fsw,1.5*Fsw-$AF$2/36*Fsw)*($AF$2/Constants!$C$25+$AF$2/Constants!$C$26)*10^-3*IF($AF$2&lt;=Vin_mode,$AE8/(1-Efficiency!AH8),$AE8)</f>
        <v>2.2270426608821406E-2</v>
      </c>
      <c r="AR8" s="220">
        <f ca="1">0.5*(Vout_typ+$AF8)*IF($AF$2&lt;=18,Fsw,1.5*Fsw-$AF$2/36*Fsw)*((Vout_typ+$AF8)/Constants!$C$25+(Vout_typ+$AF8)/Constants!$C$26)*10^-3*IF($AF$2&lt;=Vin_mode,$AE8/(1-AH8),0)</f>
        <v>2.3552899607512938E-2</v>
      </c>
      <c r="AS8" s="220">
        <f t="shared" ca="1" si="21"/>
        <v>3.8247555840353421E-2</v>
      </c>
      <c r="AT8" s="128">
        <f t="shared" ca="1" si="22"/>
        <v>1.9226189529505655E-3</v>
      </c>
      <c r="AU8" s="128">
        <f>IF($AF$2&lt;=Vin_mode,Fsw*$AF$2*Qg_boost/1000,0)+Constants!$D$24*$AF$2*IF(Efficiency!$AF$2&lt;=18,Fsw,1.5*Fsw-Efficiency!$AF$2/36*Fsw)/1000</f>
        <v>5.6160000000000002E-2</v>
      </c>
      <c r="AV8" s="128">
        <f t="shared" ca="1" si="45"/>
        <v>0.17067798244917481</v>
      </c>
      <c r="AW8" s="128">
        <f t="shared" ca="1" si="46"/>
        <v>3.9103742897800428E-2</v>
      </c>
      <c r="AX8" s="128">
        <f t="shared" ca="1" si="23"/>
        <v>0.17593550432129065</v>
      </c>
      <c r="AY8" s="128">
        <f>IF($AF$2&gt;(5+Design!$B$26),0,Vout_typ*Constants!$D$24*Fsw/1000)</f>
        <v>0</v>
      </c>
      <c r="AZ8" s="128">
        <f ca="1">(AE8/(1-AH8))^2*LoDCR/1000*(1+(BB8-25)*Constants!C$31/100)</f>
        <v>1.6408867302123084E-2</v>
      </c>
      <c r="BA8" s="128">
        <f>IF(Snubber=1,0.5*Snubber!$B$16/1000000000000*$AF$2^2*IF($AF$2&lt;=18,Fsw,1.5*Fsw-$AF$2/36*Fsw)*1000000,0)</f>
        <v>0</v>
      </c>
      <c r="BB8" s="129">
        <f ca="1">AV8*Design!$C$13+A8</f>
        <v>31.315085350619469</v>
      </c>
      <c r="BC8" s="129">
        <f ca="1">Constants!$D$21+Constants!$D$21*Constants!$C$22/100*(BB8-25)</f>
        <v>114.51528602569292</v>
      </c>
      <c r="BD8" s="129">
        <f ca="1">Rds_boost_max+Constants!$C$22*Rds_boost_max/100*(BB8-25)</f>
        <v>22.903057205138584</v>
      </c>
      <c r="BE8" s="128">
        <f t="shared" ca="1" si="47"/>
        <v>0.42760161553085252</v>
      </c>
      <c r="BF8" s="128">
        <f t="shared" si="24"/>
        <v>5.9944055944055954</v>
      </c>
      <c r="BG8" s="285">
        <f t="shared" ca="1" si="48"/>
        <v>93.341620438089123</v>
      </c>
      <c r="BH8" s="284">
        <f t="shared" si="49"/>
        <v>0.5</v>
      </c>
      <c r="BI8" s="272">
        <f ca="1">FORECAST(BH8, OFFSET(Design!$C$19:$C$21,MATCH(BH8,Design!$B$19:$B$21,1)-1,0,2), OFFSET(Design!$B$19:$B$21,MATCH(BH8,Design!$B$19:$B$21,1)-1,0,2))+(CE8-25)*Design!$B$22/1000</f>
        <v>0.35105759399637182</v>
      </c>
      <c r="BJ8" s="272">
        <f t="shared" ca="1" si="26"/>
        <v>0.62635652685868448</v>
      </c>
      <c r="BK8" s="272">
        <f>MAX(0,(1-1.844*Efficiency!$BI$2/RNG))</f>
        <v>0</v>
      </c>
      <c r="BL8" s="130">
        <f ca="1">IF($BI$2&lt;=Vin_mode,MAX(Efficiency!$BI$2*BK8/(Fsw*Lo),(Efficiency!$BI$2*BK8/(Fsw*Lo)+(Efficiency!$BI$2-Vout_typ)*(1.844*Vout_typ/RNG-BK8)/(Fsw*Lo))),IF(BQ8="DCM",BJ8*($BI$2-Vout_typ)/(Lo*IF($BI$2&lt;=18,Fsw,1.5*Fsw-$BI$2/36*Fsw)),BJ8*($BI$2-(Vout_typ+1*BI8)-(BR8-BL8/2)*(CF8+LoDCR)/1000)/(Lo*IF($BI$2&lt;=18,Fsw,1.5*Fsw-$BI$2/36*Fsw))))</f>
        <v>0.3809642790058218</v>
      </c>
      <c r="BM8" s="130">
        <f t="shared" si="27"/>
        <v>0</v>
      </c>
      <c r="BN8" s="130">
        <f t="shared" ca="1" si="28"/>
        <v>0.38232999373812632</v>
      </c>
      <c r="BO8" s="221">
        <f t="shared" ca="1" si="29"/>
        <v>0.62465226625420245</v>
      </c>
      <c r="BP8" s="221">
        <f t="shared" ca="1" si="30"/>
        <v>0.19116499686906316</v>
      </c>
      <c r="BQ8" s="221" t="str">
        <f t="shared" ca="1" si="31"/>
        <v>CCM</v>
      </c>
      <c r="BR8" s="130">
        <f t="shared" ca="1" si="32"/>
        <v>0.69048213950291093</v>
      </c>
      <c r="BS8" s="130">
        <f>$BI$2*Constants!$C$20/1000</f>
        <v>0.09</v>
      </c>
      <c r="BT8" s="130">
        <f>0.5*$BI$2*IF($BI$2&lt;=18,Fsw,1.5*Fsw-$BI$2/36*Fsw)*($BI$2/Constants!$C$25+$BI$2/Constants!$C$26)*10^-3*IF($BI$2&lt;=Vin_mode,$BH8/(1-Efficiency!BK8),$BH8)</f>
        <v>4.6172839506172847E-2</v>
      </c>
      <c r="BU8" s="221">
        <f ca="1">0.5*(Vout_typ+$BI8)*IF($BI$2&lt;=18,Fsw,1.5*Fsw-$BI$2/36*Fsw)*((Vout_typ+$BI8)/Constants!$C$25+(Vout_typ+$BI8)/Constants!$C$26)*10^-3*IF($BI$2&lt;=Vin_mode,$BH8/(1-BK8),0)</f>
        <v>0</v>
      </c>
      <c r="BV8" s="221">
        <f t="shared" ca="1" si="33"/>
        <v>1.8918700810440083E-2</v>
      </c>
      <c r="BW8" s="130">
        <f t="shared" ca="1" si="34"/>
        <v>0</v>
      </c>
      <c r="BX8" s="130">
        <f>IF($BI$2&lt;=Vin_mode,Fsw*$BI$2*Qg_boost/1000,0)+Constants!$D$24*$BI$2*IF(Efficiency!$BI$2&lt;=18,Fsw,1.5*Fsw-Efficiency!$BI$2/36*Fsw)/1000</f>
        <v>4.3066666666666677E-2</v>
      </c>
      <c r="BY8" s="130">
        <f t="shared" ca="1" si="35"/>
        <v>0.1981582069832796</v>
      </c>
      <c r="BZ8" s="130">
        <f t="shared" ca="1" si="36"/>
        <v>6.55851893467191E-2</v>
      </c>
      <c r="CA8" s="130">
        <f t="shared" ca="1" si="37"/>
        <v>0.17552879699818591</v>
      </c>
      <c r="CB8" s="130">
        <f>IF($BI$2&gt;(5+Design!$B$26),0,Vout_typ*Constants!$D$24*Fsw/1000)</f>
        <v>0</v>
      </c>
      <c r="CC8" s="130">
        <f ca="1">(BH8/(1-BK8))^2*LoDCR/1000*(1+(CE8-25)*Constants!C$31/100)</f>
        <v>1.0288141848774388E-2</v>
      </c>
      <c r="CD8" s="130">
        <f>IF(Snubber,0.5*Snubber!$B$16/1000000000000*$BI$2^2*IF($BI$2&lt;=18,Fsw,1.5*Fsw-$BI$2/36*Fsw)*1000000,0)</f>
        <v>0</v>
      </c>
      <c r="CE8" s="131">
        <f ca="1">BY8*Design!$C$13+A8</f>
        <v>32.331853658381348</v>
      </c>
      <c r="CF8" s="131">
        <f ca="1">Constants!$D$21+Constants!$D$21*Constants!$C$22/100*(CE8-25)</f>
        <v>115.24227536574267</v>
      </c>
      <c r="CG8" s="131">
        <f ca="1">Rds_boost_max+Constants!$C$22*Rds_boost_max/100*(CE8-25)</f>
        <v>23.048455073148531</v>
      </c>
      <c r="CH8" s="130">
        <f t="shared" ca="1" si="38"/>
        <v>0.44956033517695904</v>
      </c>
      <c r="CI8" s="130">
        <f t="shared" si="39"/>
        <v>5.9944055944055954</v>
      </c>
      <c r="CJ8" s="286">
        <f t="shared" ca="1" si="40"/>
        <v>93.02354574667838</v>
      </c>
    </row>
    <row r="9" spans="1:88" s="96" customFormat="1" ht="13.5" thickBot="1" x14ac:dyDescent="0.25">
      <c r="A9" s="95">
        <v>25</v>
      </c>
      <c r="B9" s="269">
        <f t="shared" si="41"/>
        <v>0.6</v>
      </c>
      <c r="C9" s="218">
        <f ca="1">FORECAST(B9, OFFSET(Design!$C$19:$C$21,MATCH(B9,Design!$B$19:$B$21,1)-1,0,2), OFFSET(Design!$B$19:$B$21,MATCH(B9,Design!$B$19:$B$21,1)-1,0,2))+(Y9-25)*Design!$B$22/1000</f>
        <v>0.35606148607240207</v>
      </c>
      <c r="D9" s="250">
        <f ca="1">IF($C$2&lt;=Vin_mode,((E9-1)*(Vout_typ+C9)-C9-(L9-F9/2)*(AA9*E9/1000+LoDCR/1000))/((L9-F9/2)*Z9/1000-$C$2-C9),IF(K9="DCM",(Vout_typ)/($C$2)*2*B9/L9,(Vout_typ+2*C9+(L9-F9/2)*LoDCR/1000)/($C$2+C9-(L9-F9/2)*Z9/1000)))</f>
        <v>0.85850360831264705</v>
      </c>
      <c r="E9" s="218">
        <f>MAX(0,(1-1.844*Efficiency!$C$2/RNG))</f>
        <v>0.60485714285714287</v>
      </c>
      <c r="F9" s="126">
        <f>IF($C$2&lt;=Vin_mode,MAX(Efficiency!$C$2*E9/(Fsw*Lo),(Efficiency!$C$2*E9/(Fsw*Lo)+(Efficiency!$C$2-Vout_typ)*(1.844*Vout_typ/RNG-E9)/(Fsw*Lo))),IF(K9="DCM",D9*($C$2-Vout_typ)/(Lo*IF($C$2&lt;=18,Fsw,1.5*Fsw-$C$2/36*Fsw)),D9*($C$2-(Vout_typ+1*C9)-(L9-F9/2)*(Z9+LoDCR)/1000)/(Lo*IF($C$2&lt;=18,Fsw,1.5*Fsw-$C$2/36*Fsw))))</f>
        <v>0.27493506493506492</v>
      </c>
      <c r="G9" s="126">
        <f t="shared" ca="1" si="1"/>
        <v>0.27379511179568944</v>
      </c>
      <c r="H9" s="126">
        <f t="shared" ca="1" si="2"/>
        <v>0.16635987490867138</v>
      </c>
      <c r="I9" s="218">
        <f t="shared" ca="1" si="3"/>
        <v>0.82714852230797764</v>
      </c>
      <c r="J9" s="218">
        <f t="shared" ca="1" si="4"/>
        <v>6.759153932565598E-2</v>
      </c>
      <c r="K9" s="218" t="str">
        <f t="shared" ca="1" si="5"/>
        <v>CCM</v>
      </c>
      <c r="L9" s="126">
        <f t="shared" ca="1" si="6"/>
        <v>1.5676638173276354</v>
      </c>
      <c r="M9" s="126">
        <f>$C$2*Constants!$C$20/1000</f>
        <v>2.7E-2</v>
      </c>
      <c r="N9" s="126">
        <f>0.5*$C$2*IF($C$2&lt;=18,Fsw,1.5*Fsw-$C$2/36*Fsw)*($C$2/Constants!$C$25+$C$2/Constants!$C$26)*10^-3*($B9/(1-Efficiency!E9))</f>
        <v>1.3362255965292842E-2</v>
      </c>
      <c r="O9" s="218">
        <f ca="1">0.5*(Vout_typ+$C9)*IF($C$2&lt;=18,Fsw,1.5*Fsw-$C$2/36*Fsw)*((Vout_typ+$C9)/Constants!$C$25+(Vout_typ+$C9)/Constants!$C$26)*10^-3*IF($C$2&lt;=Vin_mode,$B9/(1-E9),0)</f>
        <v>5.6565354854903556E-2</v>
      </c>
      <c r="P9" s="218">
        <f t="shared" ca="1" si="7"/>
        <v>0.2378658202442703</v>
      </c>
      <c r="Q9" s="126">
        <f t="shared" ca="1" si="8"/>
        <v>3.2941196221241226E-2</v>
      </c>
      <c r="R9" s="126">
        <f>IF($C$2&lt;=Vin_mode,Fsw*$C$2*Qg_boost/1000,0)+Constants!$D$24*$C$2*IF(Efficiency!$C$2&lt;=18,Fsw,1.5*Fsw-Efficiency!$C$2/36*Fsw)/1000</f>
        <v>2.8080000000000001E-2</v>
      </c>
      <c r="S9" s="126">
        <f t="shared" ca="1" si="50"/>
        <v>0.30630807620956313</v>
      </c>
      <c r="T9" s="126">
        <f t="shared" ca="1" si="9"/>
        <v>7.6501064747629285E-2</v>
      </c>
      <c r="U9" s="126">
        <f t="shared" ca="1" si="10"/>
        <v>0.21363689164344124</v>
      </c>
      <c r="V9" s="126">
        <f>IF($C$2&gt;(5+Design!$B$26),0,Vout_typ*Constants!$D$24*Fsw/1000)</f>
        <v>0</v>
      </c>
      <c r="W9" s="126">
        <f ca="1">(B9/(1-E9))^2*LoDCR/1000*(1+(Y9-25)*Constants!C$31/100)</f>
        <v>9.633395779376154E-2</v>
      </c>
      <c r="X9" s="126">
        <f>IF(Snubber=1,0.5*Snubber!$B$16/1000000000000*$C$2^2*IF($C$2&lt;=18,Fsw,1.5*Fsw-$C$2/36*Fsw)*1000000,0)</f>
        <v>0</v>
      </c>
      <c r="Y9" s="127">
        <f ca="1">S9*Design!$C$13+A9</f>
        <v>36.333398819753839</v>
      </c>
      <c r="Z9" s="127">
        <f ca="1">Constants!$D$21+Constants!$D$21*Constants!$C$22/100*(Y9-25)</f>
        <v>118.10338015612399</v>
      </c>
      <c r="AA9" s="127">
        <f ca="1">Rds_boost_max+Constants!$C$22*Rds_boost_max/100*(Y9-25)</f>
        <v>23.6206760312248</v>
      </c>
      <c r="AB9" s="126">
        <f t="shared" ca="1" si="11"/>
        <v>0.78228654147054</v>
      </c>
      <c r="AC9" s="126">
        <f t="shared" si="12"/>
        <v>7.1932867132867147</v>
      </c>
      <c r="AD9" s="276">
        <f t="shared" ca="1" si="13"/>
        <v>90.191469421913681</v>
      </c>
      <c r="AE9" s="270">
        <f t="shared" si="42"/>
        <v>0.6</v>
      </c>
      <c r="AF9" s="220">
        <f ca="1">FORECAST(AE9, OFFSET(Design!$C$19:$C$21,MATCH(AE9,Design!$B$19:$B$21,1)-1,0,2), OFFSET(Design!$B$19:$B$21,MATCH(AE9,Design!$B$19:$B$21,1)-1,0,2))+(BB9-25)*Design!$B$22/1000</f>
        <v>0.35944002145224441</v>
      </c>
      <c r="AG9" s="220">
        <f t="shared" ca="1" si="14"/>
        <v>0.82640397108002317</v>
      </c>
      <c r="AH9" s="220">
        <f>MAX(0,(1-1.844*Efficiency!$AF$2/RNG))</f>
        <v>0.20971428571428574</v>
      </c>
      <c r="AI9" s="128">
        <f>IF($AF$2&lt;=Vin_mode,MAX(Efficiency!$AF$2*AH9/(Fsw*Lo),(Efficiency!$AF$2*AH9/(Fsw*Lo)+(Efficiency!$AF$2-Vout_typ)*(1.844*Vout_typ/RNG-AH9)/(Fsw*Lo))),IF(AN9="DCM",AG9*($AF$2-Vout_typ)/(Lo*IF($AF$2&lt;=18,Fsw,1.5*Fsw-$AF$2/36*Fsw)),AG9*($AF$2-(Vout_typ+1*AF9)-(AO9-AI9/2)*(BC9+LoDCR)/1000)/(Lo*IF($AF$2&lt;=18,Fsw,1.5*Fsw-$AF$2/36*Fsw))))</f>
        <v>0.19114084000339554</v>
      </c>
      <c r="AJ9" s="128">
        <f t="shared" ca="1" si="15"/>
        <v>0.19038000451438908</v>
      </c>
      <c r="AK9" s="128">
        <f t="shared" ca="1" si="16"/>
        <v>0.17296551765328641</v>
      </c>
      <c r="AL9" s="220">
        <f t="shared" ca="1" si="17"/>
        <v>0.8203825196258121</v>
      </c>
      <c r="AM9" s="220">
        <f t="shared" ca="1" si="43"/>
        <v>0.12704878137466602</v>
      </c>
      <c r="AN9" s="220" t="str">
        <f t="shared" ca="1" si="44"/>
        <v>CCM</v>
      </c>
      <c r="AO9" s="128">
        <f t="shared" ca="1" si="20"/>
        <v>0.78021231340592256</v>
      </c>
      <c r="AP9" s="128">
        <f>$AF$2*Constants!$C$20/1000</f>
        <v>5.3999999999999999E-2</v>
      </c>
      <c r="AQ9" s="128">
        <f>0.5*$AF$2*IF($AF$2&lt;=18,Fsw,1.5*Fsw-$AF$2/36*Fsw)*($AF$2/Constants!$C$25+$AF$2/Constants!$C$26)*10^-3*IF($AF$2&lt;=Vin_mode,$AE9/(1-Efficiency!AH9),$AE9)</f>
        <v>2.6724511930585684E-2</v>
      </c>
      <c r="AR9" s="220">
        <f ca="1">0.5*(Vout_typ+$AF9)*IF($AF$2&lt;=18,Fsw,1.5*Fsw-$AF$2/36*Fsw)*((Vout_typ+$AF9)/Constants!$C$25+(Vout_typ+$AF9)/Constants!$C$26)*10^-3*IF($AF$2&lt;=Vin_mode,$AE9/(1-AH9),0)</f>
        <v>2.8298160309198538E-2</v>
      </c>
      <c r="AS9" s="220">
        <f t="shared" ca="1" si="21"/>
        <v>5.528385550051975E-2</v>
      </c>
      <c r="AT9" s="128">
        <f t="shared" ca="1" si="22"/>
        <v>2.782316275361415E-3</v>
      </c>
      <c r="AU9" s="128">
        <f>IF($AF$2&lt;=Vin_mode,Fsw*$AF$2*Qg_boost/1000,0)+Constants!$D$24*$AF$2*IF(Efficiency!$AF$2&lt;=18,Fsw,1.5*Fsw-Efficiency!$AF$2/36*Fsw)/1000</f>
        <v>5.6160000000000002E-2</v>
      </c>
      <c r="AV9" s="128">
        <f t="shared" ca="1" si="45"/>
        <v>0.19216836743110544</v>
      </c>
      <c r="AW9" s="128">
        <f t="shared" ca="1" si="46"/>
        <v>4.7373267083855364E-2</v>
      </c>
      <c r="AX9" s="128">
        <f t="shared" ca="1" si="23"/>
        <v>0.21566401287134662</v>
      </c>
      <c r="AY9" s="128">
        <f>IF($AF$2&gt;(5+Design!$B$26),0,Vout_typ*Constants!$D$24*Fsw/1000)</f>
        <v>0</v>
      </c>
      <c r="AZ9" s="128">
        <f ca="1">(AE9/(1-AH9))^2*LoDCR/1000*(1+(BB9-25)*Constants!C$31/100)</f>
        <v>2.370081870172815E-2</v>
      </c>
      <c r="BA9" s="128">
        <f>IF(Snubber=1,0.5*Snubber!$B$16/1000000000000*$AF$2^2*IF($AF$2&lt;=18,Fsw,1.5*Fsw-$AF$2/36*Fsw)*1000000,0)</f>
        <v>0</v>
      </c>
      <c r="BB9" s="129">
        <f ca="1">AV9*Design!$C$13+A9</f>
        <v>32.110229594950901</v>
      </c>
      <c r="BC9" s="129">
        <f ca="1">Constants!$D$21+Constants!$D$21*Constants!$C$22/100*(BB9-25)</f>
        <v>115.08381416038989</v>
      </c>
      <c r="BD9" s="129">
        <f ca="1">Rds_boost_max+Constants!$C$22*Rds_boost_max/100*(BB9-25)</f>
        <v>23.01676283207798</v>
      </c>
      <c r="BE9" s="128">
        <f t="shared" ca="1" si="47"/>
        <v>0.50998694267259548</v>
      </c>
      <c r="BF9" s="128">
        <f t="shared" si="24"/>
        <v>7.1932867132867147</v>
      </c>
      <c r="BG9" s="285">
        <f t="shared" ca="1" si="48"/>
        <v>93.379607612952114</v>
      </c>
      <c r="BH9" s="284">
        <f t="shared" si="49"/>
        <v>0.6</v>
      </c>
      <c r="BI9" s="272">
        <f ca="1">FORECAST(BH9, OFFSET(Design!$C$19:$C$21,MATCH(BH9,Design!$B$19:$B$21,1)-1,0,2), OFFSET(Design!$B$19:$B$21,MATCH(BH9,Design!$B$19:$B$21,1)-1,0,2))+(CE9-25)*Design!$B$22/1000</f>
        <v>0.35874988232353422</v>
      </c>
      <c r="BJ9" s="272">
        <f t="shared" ca="1" si="26"/>
        <v>0.62743872089228803</v>
      </c>
      <c r="BK9" s="272">
        <f>MAX(0,(1-1.844*Efficiency!$BI$2/RNG))</f>
        <v>0</v>
      </c>
      <c r="BL9" s="130">
        <f ca="1">IF($BI$2&lt;=Vin_mode,MAX(Efficiency!$BI$2*BK9/(Fsw*Lo),(Efficiency!$BI$2*BK9/(Fsw*Lo)+(Efficiency!$BI$2-Vout_typ)*(1.844*Vout_typ/RNG-BK9)/(Fsw*Lo))),IF(BQ9="DCM",BJ9*($BI$2-Vout_typ)/(Lo*IF($BI$2&lt;=18,Fsw,1.5*Fsw-$BI$2/36*Fsw)),BJ9*($BI$2-(Vout_typ+1*BI9)-(BR9-BL9/2)*(CF9+LoDCR)/1000)/(Lo*IF($BI$2&lt;=18,Fsw,1.5*Fsw-$BI$2/36*Fsw))))</f>
        <v>0.38044018173203131</v>
      </c>
      <c r="BM9" s="130">
        <f t="shared" si="27"/>
        <v>0</v>
      </c>
      <c r="BN9" s="130">
        <f t="shared" ca="1" si="28"/>
        <v>0.38226006281974079</v>
      </c>
      <c r="BO9" s="221">
        <f t="shared" ca="1" si="29"/>
        <v>0.62517498682850192</v>
      </c>
      <c r="BP9" s="221">
        <f t="shared" ca="1" si="30"/>
        <v>0.19113003140987039</v>
      </c>
      <c r="BQ9" s="221" t="str">
        <f t="shared" ca="1" si="31"/>
        <v>CCM</v>
      </c>
      <c r="BR9" s="130">
        <f t="shared" ca="1" si="32"/>
        <v>0.79022009086601563</v>
      </c>
      <c r="BS9" s="130">
        <f>$BI$2*Constants!$C$20/1000</f>
        <v>0.09</v>
      </c>
      <c r="BT9" s="130">
        <f>0.5*$BI$2*IF($BI$2&lt;=18,Fsw,1.5*Fsw-$BI$2/36*Fsw)*($BI$2/Constants!$C$25+$BI$2/Constants!$C$26)*10^-3*IF($BI$2&lt;=Vin_mode,$BH9/(1-Efficiency!BK9),$BH9)</f>
        <v>5.5407407407407412E-2</v>
      </c>
      <c r="BU9" s="221">
        <f ca="1">0.5*(Vout_typ+$BI9)*IF($BI$2&lt;=18,Fsw,1.5*Fsw-$BI$2/36*Fsw)*((Vout_typ+$BI9)/Constants!$C$25+(Vout_typ+$BI9)/Constants!$C$26)*10^-3*IF($BI$2&lt;=Vin_mode,$BH9/(1-BK9),0)</f>
        <v>0</v>
      </c>
      <c r="BV9" s="221">
        <f t="shared" ca="1" si="33"/>
        <v>2.7009804462105578E-2</v>
      </c>
      <c r="BW9" s="130">
        <f t="shared" ca="1" si="34"/>
        <v>0</v>
      </c>
      <c r="BX9" s="130">
        <f>IF($BI$2&lt;=Vin_mode,Fsw*$BI$2*Qg_boost/1000,0)+Constants!$D$24*$BI$2*IF(Efficiency!$BI$2&lt;=18,Fsw,1.5*Fsw-Efficiency!$BI$2/36*Fsw)/1000</f>
        <v>4.3066666666666677E-2</v>
      </c>
      <c r="BY9" s="130">
        <f t="shared" ca="1" si="35"/>
        <v>0.21548387853617965</v>
      </c>
      <c r="BZ9" s="130">
        <f t="shared" ca="1" si="36"/>
        <v>8.0193789022918224E-2</v>
      </c>
      <c r="CA9" s="130">
        <f t="shared" ca="1" si="37"/>
        <v>0.21524992939412052</v>
      </c>
      <c r="CB9" s="130">
        <f>IF($BI$2&gt;(5+Design!$B$26),0,Vout_typ*Constants!$D$24*Fsw/1000)</f>
        <v>0</v>
      </c>
      <c r="CC9" s="130">
        <f ca="1">(BH9/(1-BK9))^2*LoDCR/1000*(1+(CE9-25)*Constants!C$31/100)</f>
        <v>1.4851202555202416E-2</v>
      </c>
      <c r="CD9" s="130">
        <f>IF(Snubber,0.5*Snubber!$B$16/1000000000000*$BI$2^2*IF($BI$2&lt;=18,Fsw,1.5*Fsw-$BI$2/36*Fsw)*1000000,0)</f>
        <v>0</v>
      </c>
      <c r="CE9" s="131">
        <f ca="1">BY9*Design!$C$13+A9</f>
        <v>32.972903505838644</v>
      </c>
      <c r="CF9" s="131">
        <f ca="1">Constants!$D$21+Constants!$D$21*Constants!$C$22/100*(CE9-25)</f>
        <v>115.70062600667463</v>
      </c>
      <c r="CG9" s="131">
        <f ca="1">Rds_boost_max+Constants!$C$22*Rds_boost_max/100*(CE9-25)</f>
        <v>23.140125201334925</v>
      </c>
      <c r="CH9" s="130">
        <f t="shared" ca="1" si="38"/>
        <v>0.52577879950842077</v>
      </c>
      <c r="CI9" s="130">
        <f t="shared" si="39"/>
        <v>7.1932867132867147</v>
      </c>
      <c r="CJ9" s="286">
        <f t="shared" ca="1" si="40"/>
        <v>93.188569281645698</v>
      </c>
    </row>
    <row r="10" spans="1:88" s="96" customFormat="1" ht="13.5" thickBot="1" x14ac:dyDescent="0.25">
      <c r="A10" s="95">
        <v>25</v>
      </c>
      <c r="B10" s="269">
        <f t="shared" si="41"/>
        <v>0.7</v>
      </c>
      <c r="C10" s="218">
        <f ca="1">FORECAST(B10, OFFSET(Design!$C$19:$C$21,MATCH(B10,Design!$B$19:$B$21,1)-1,0,2), OFFSET(Design!$B$19:$B$21,MATCH(B10,Design!$B$19:$B$21,1)-1,0,2))+(Y10-25)*Design!$B$22/1000</f>
        <v>0.36141082027001886</v>
      </c>
      <c r="D10" s="250">
        <f t="shared" ca="1" si="0"/>
        <v>0.86598342680792262</v>
      </c>
      <c r="E10" s="218">
        <f>MAX(0,(1-1.844*Efficiency!$C$2/RNG))</f>
        <v>0.60485714285714287</v>
      </c>
      <c r="F10" s="126">
        <f>IF($C$2&lt;=Vin_mode,MAX(Efficiency!$C$2*E10/(Fsw*Lo),(Efficiency!$C$2*E10/(Fsw*Lo)+(Efficiency!$C$2-Vout_typ)*(1.844*Vout_typ/RNG-E10)/(Fsw*Lo))),IF(K10="DCM",D10*($C$2-Vout_typ)/(Lo*IF($C$2&lt;=18,Fsw,1.5*Fsw-$C$2/36*Fsw)),D10*($C$2-(Vout_typ+1*C10)-(L10-F10/2)*(Z10+LoDCR)/1000)/(Lo*IF($C$2&lt;=18,Fsw,1.5*Fsw-$C$2/36*Fsw))))</f>
        <v>0.27493506493506492</v>
      </c>
      <c r="G10" s="126">
        <f t="shared" ca="1" si="1"/>
        <v>0.27377597963743266</v>
      </c>
      <c r="H10" s="126">
        <f t="shared" ca="1" si="2"/>
        <v>0.16598131176812883</v>
      </c>
      <c r="I10" s="218">
        <f t="shared" ca="1" si="3"/>
        <v>0.82768686528775359</v>
      </c>
      <c r="J10" s="218">
        <f t="shared" ca="1" si="4"/>
        <v>6.8538216981042455E-2</v>
      </c>
      <c r="K10" s="218" t="str">
        <f t="shared" ca="1" si="5"/>
        <v>CCM</v>
      </c>
      <c r="L10" s="126">
        <f t="shared" ca="1" si="6"/>
        <v>1.8181346686136244</v>
      </c>
      <c r="M10" s="126">
        <f>$C$2*Constants!$C$20/1000</f>
        <v>2.7E-2</v>
      </c>
      <c r="N10" s="126">
        <f>0.5*$C$2*IF($C$2&lt;=18,Fsw,1.5*Fsw-$C$2/36*Fsw)*($C$2/Constants!$C$25+$C$2/Constants!$C$26)*10^-3*($B10/(1-Efficiency!E10))</f>
        <v>1.5589298626174981E-2</v>
      </c>
      <c r="O10" s="218">
        <f ca="1">0.5*(Vout_typ+$C10)*IF($C$2&lt;=18,Fsw,1.5*Fsw-$C$2/36*Fsw)*((Vout_typ+$C10)/Constants!$C$25+(Vout_typ+$C10)/Constants!$C$26)*10^-3*IF($C$2&lt;=Vin_mode,$B10/(1-E10),0)</f>
        <v>6.6050119064888807E-2</v>
      </c>
      <c r="P10" s="218">
        <f t="shared" ca="1" si="7"/>
        <v>0.33211830486417887</v>
      </c>
      <c r="Q10" s="126">
        <f t="shared" ca="1" si="8"/>
        <v>4.5805605372999728E-2</v>
      </c>
      <c r="R10" s="126">
        <f>IF($C$2&lt;=Vin_mode,Fsw*$C$2*Qg_boost/1000,0)+Constants!$D$24*$C$2*IF(Efficiency!$C$2&lt;=18,Fsw,1.5*Fsw-Efficiency!$C$2/36*Fsw)/1000</f>
        <v>2.8080000000000001E-2</v>
      </c>
      <c r="S10" s="126">
        <f t="shared" ca="1" si="50"/>
        <v>0.40278760349035386</v>
      </c>
      <c r="T10" s="126">
        <f t="shared" ca="1" si="9"/>
        <v>8.580321557155314E-2</v>
      </c>
      <c r="U10" s="126">
        <f t="shared" ca="1" si="10"/>
        <v>0.25298757418901319</v>
      </c>
      <c r="V10" s="126">
        <f>IF($C$2&gt;(5+Design!$B$26),0,Vout_typ*Constants!$D$24*Fsw/1000)</f>
        <v>0</v>
      </c>
      <c r="W10" s="126">
        <f ca="1">(B10/(1-E10))^2*LoDCR/1000*(1+(Y10-25)*Constants!C$31/100)</f>
        <v>0.13288229285377293</v>
      </c>
      <c r="X10" s="126">
        <f>IF(Snubber=1,0.5*Snubber!$B$16/1000000000000*$C$2^2*IF($C$2&lt;=18,Fsw,1.5*Fsw-$C$2/36*Fsw)*1000000,0)</f>
        <v>0</v>
      </c>
      <c r="Y10" s="127">
        <f ca="1">S10*Design!$C$13+A10</f>
        <v>39.903141329143097</v>
      </c>
      <c r="Z10" s="127">
        <f ca="1">Constants!$D$21+Constants!$D$21*Constants!$C$22/100*(Y10-25)</f>
        <v>120.65574605033731</v>
      </c>
      <c r="AA10" s="127">
        <f ca="1">Rds_boost_max+Constants!$C$22*Rds_boost_max/100*(Y10-25)</f>
        <v>24.131149210067463</v>
      </c>
      <c r="AB10" s="126">
        <f t="shared" ca="1" si="11"/>
        <v>0.98631641054258157</v>
      </c>
      <c r="AC10" s="126">
        <f t="shared" si="12"/>
        <v>8.3921678321678339</v>
      </c>
      <c r="AD10" s="276">
        <f t="shared" ca="1" si="13"/>
        <v>89.483200216397307</v>
      </c>
      <c r="AE10" s="270">
        <f t="shared" si="42"/>
        <v>0.7</v>
      </c>
      <c r="AF10" s="220">
        <f ca="1">FORECAST(AE10, OFFSET(Design!$C$19:$C$21,MATCH(AE10,Design!$B$19:$B$21,1)-1,0,2), OFFSET(Design!$B$19:$B$21,MATCH(AE10,Design!$B$19:$B$21,1)-1,0,2))+(BB10-25)*Design!$B$22/1000</f>
        <v>0.36690905418086861</v>
      </c>
      <c r="AG10" s="220">
        <f t="shared" ca="1" si="14"/>
        <v>0.82846818369980901</v>
      </c>
      <c r="AH10" s="220">
        <f>MAX(0,(1-1.844*Efficiency!$AF$2/RNG))</f>
        <v>0.20971428571428574</v>
      </c>
      <c r="AI10" s="128">
        <f>IF($AF$2&lt;=Vin_mode,MAX(Efficiency!$AF$2*AH10/(Fsw*Lo),(Efficiency!$AF$2*AH10/(Fsw*Lo)+(Efficiency!$AF$2-Vout_typ)*(1.844*Vout_typ/RNG-AH10)/(Fsw*Lo))),IF(AN10="DCM",AG10*($AF$2-Vout_typ)/(Lo*IF($AF$2&lt;=18,Fsw,1.5*Fsw-$AF$2/36*Fsw)),AG10*($AF$2-(Vout_typ+1*AF10)-(AO10-AI10/2)*(BC10+LoDCR)/1000)/(Lo*IF($AF$2&lt;=18,Fsw,1.5*Fsw-$AF$2/36*Fsw))))</f>
        <v>0.19114084000339554</v>
      </c>
      <c r="AJ10" s="128">
        <f t="shared" ca="1" si="15"/>
        <v>0.19037881228409223</v>
      </c>
      <c r="AK10" s="128">
        <f t="shared" ca="1" si="16"/>
        <v>0.17259734980093544</v>
      </c>
      <c r="AL10" s="220">
        <f t="shared" ca="1" si="17"/>
        <v>0.82097513180530324</v>
      </c>
      <c r="AM10" s="220">
        <f t="shared" ca="1" si="43"/>
        <v>0.12709942603294494</v>
      </c>
      <c r="AN10" s="220" t="str">
        <f t="shared" ca="1" si="44"/>
        <v>CCM</v>
      </c>
      <c r="AO10" s="128">
        <f t="shared" ca="1" si="20"/>
        <v>0.90649919994436789</v>
      </c>
      <c r="AP10" s="128">
        <f>$AF$2*Constants!$C$20/1000</f>
        <v>5.3999999999999999E-2</v>
      </c>
      <c r="AQ10" s="128">
        <f>0.5*$AF$2*IF($AF$2&lt;=18,Fsw,1.5*Fsw-$AF$2/36*Fsw)*($AF$2/Constants!$C$25+$AF$2/Constants!$C$26)*10^-3*IF($AF$2&lt;=Vin_mode,$AE10/(1-Efficiency!AH10),$AE10)</f>
        <v>3.1178597252349963E-2</v>
      </c>
      <c r="AR10" s="220">
        <f ca="1">0.5*(Vout_typ+$AF10)*IF($AF$2&lt;=18,Fsw,1.5*Fsw-$AF$2/36*Fsw)*((Vout_typ+$AF10)/Constants!$C$25+(Vout_typ+$AF10)/Constants!$C$26)*10^-3*IF($AF$2&lt;=Vin_mode,$AE10/(1-AH10),0)</f>
        <v>3.3054471136716536E-2</v>
      </c>
      <c r="AS10" s="220">
        <f t="shared" ca="1" si="21"/>
        <v>7.5697860601187744E-2</v>
      </c>
      <c r="AT10" s="128">
        <f t="shared" ca="1" si="22"/>
        <v>3.808690506877314E-3</v>
      </c>
      <c r="AU10" s="128">
        <f>IF($AF$2&lt;=Vin_mode,Fsw*$AF$2*Qg_boost/1000,0)+Constants!$D$24*$AF$2*IF(Efficiency!$AF$2&lt;=18,Fsw,1.5*Fsw-Efficiency!$AF$2/36*Fsw)/1000</f>
        <v>5.6160000000000002E-2</v>
      </c>
      <c r="AV10" s="128">
        <f t="shared" ca="1" si="45"/>
        <v>0.2170364578535377</v>
      </c>
      <c r="AW10" s="128">
        <f t="shared" ca="1" si="46"/>
        <v>5.5746425299183826E-2</v>
      </c>
      <c r="AX10" s="128">
        <f t="shared" ca="1" si="23"/>
        <v>0.25683633792660804</v>
      </c>
      <c r="AY10" s="128">
        <f>IF($AF$2&gt;(5+Design!$B$26),0,Vout_typ*Constants!$D$24*Fsw/1000)</f>
        <v>0</v>
      </c>
      <c r="AZ10" s="128">
        <f ca="1">(AE10/(1-AH10))^2*LoDCR/1000*(1+(BB10-25)*Constants!C$31/100)</f>
        <v>3.2372929034449605E-2</v>
      </c>
      <c r="BA10" s="128">
        <f>IF(Snubber=1,0.5*Snubber!$B$16/1000000000000*$AF$2^2*IF($AF$2&lt;=18,Fsw,1.5*Fsw-$AF$2/36*Fsw)*1000000,0)</f>
        <v>0</v>
      </c>
      <c r="BB10" s="129">
        <f ca="1">AV10*Design!$C$13+A10</f>
        <v>33.030348940580893</v>
      </c>
      <c r="BC10" s="129">
        <f ca="1">Constants!$D$21+Constants!$D$21*Constants!$C$22/100*(BB10-25)</f>
        <v>115.74169949251534</v>
      </c>
      <c r="BD10" s="129">
        <f ca="1">Rds_boost_max+Constants!$C$22*Rds_boost_max/100*(BB10-25)</f>
        <v>23.148339898503068</v>
      </c>
      <c r="BE10" s="128">
        <f t="shared" ca="1" si="47"/>
        <v>0.59885531175737305</v>
      </c>
      <c r="BF10" s="128">
        <f t="shared" si="24"/>
        <v>8.3921678321678339</v>
      </c>
      <c r="BG10" s="285">
        <f t="shared" ref="BG10:BG13" ca="1" si="51">100*BF10/(BF10+BE10)</f>
        <v>93.339408628238388</v>
      </c>
      <c r="BH10" s="284">
        <f t="shared" si="49"/>
        <v>0.7</v>
      </c>
      <c r="BI10" s="272">
        <f ca="1">FORECAST(BH10, OFFSET(Design!$C$19:$C$21,MATCH(BH10,Design!$B$19:$B$21,1)-1,0,2), OFFSET(Design!$B$19:$B$21,MATCH(BH10,Design!$B$19:$B$21,1)-1,0,2))+(CE10-25)*Design!$B$22/1000</f>
        <v>0.36639586399660573</v>
      </c>
      <c r="BJ10" s="272">
        <f t="shared" ca="1" si="26"/>
        <v>0.62852196030859431</v>
      </c>
      <c r="BK10" s="272">
        <f>MAX(0,(1-1.844*Efficiency!$BI$2/RNG))</f>
        <v>0</v>
      </c>
      <c r="BL10" s="130">
        <f ca="1">IF($BI$2&lt;=Vin_mode,MAX(Efficiency!$BI$2*BK10/(Fsw*Lo),(Efficiency!$BI$2*BK10/(Fsw*Lo)+(Efficiency!$BI$2-Vout_typ)*(1.844*Vout_typ/RNG-BK10)/(Fsw*Lo))),IF(BQ10="DCM",BJ10*($BI$2-Vout_typ)/(Lo*IF($BI$2&lt;=18,Fsw,1.5*Fsw-$BI$2/36*Fsw)),BJ10*($BI$2-(Vout_typ+1*BI10)-(BR10-BL10/2)*(CF10+LoDCR)/1000)/(Lo*IF($BI$2&lt;=18,Fsw,1.5*Fsw-$BI$2/36*Fsw))))</f>
        <v>0.37990889024425073</v>
      </c>
      <c r="BM10" s="130">
        <f t="shared" si="27"/>
        <v>0</v>
      </c>
      <c r="BN10" s="130">
        <f t="shared" ca="1" si="28"/>
        <v>0.38218940874475416</v>
      </c>
      <c r="BO10" s="221">
        <f t="shared" ca="1" si="29"/>
        <v>0.62569442852517809</v>
      </c>
      <c r="BP10" s="221">
        <f t="shared" ca="1" si="30"/>
        <v>0.19109470437237708</v>
      </c>
      <c r="BQ10" s="221" t="str">
        <f t="shared" ca="1" si="31"/>
        <v>CCM</v>
      </c>
      <c r="BR10" s="130">
        <f t="shared" ca="1" si="32"/>
        <v>0.88995444512212529</v>
      </c>
      <c r="BS10" s="130">
        <f>$BI$2*Constants!$C$20/1000</f>
        <v>0.09</v>
      </c>
      <c r="BT10" s="130">
        <f>0.5*$BI$2*IF($BI$2&lt;=18,Fsw,1.5*Fsw-$BI$2/36*Fsw)*($BI$2/Constants!$C$25+$BI$2/Constants!$C$26)*10^-3*IF($BI$2&lt;=Vin_mode,$BH10/(1-Efficiency!BK10),$BH10)</f>
        <v>6.4641975308641977E-2</v>
      </c>
      <c r="BU10" s="221">
        <f ca="1">0.5*(Vout_typ+$BI10)*IF($BI$2&lt;=18,Fsw,1.5*Fsw-$BI$2/36*Fsw)*((Vout_typ+$BI10)/Constants!$C$25+(Vout_typ+$BI10)/Constants!$C$26)*10^-3*IF($BI$2&lt;=Vin_mode,$BH10/(1-BK10),0)</f>
        <v>0</v>
      </c>
      <c r="BV10" s="221">
        <f t="shared" ca="1" si="33"/>
        <v>3.6665322103327416E-2</v>
      </c>
      <c r="BW10" s="130">
        <f t="shared" ca="1" si="34"/>
        <v>0</v>
      </c>
      <c r="BX10" s="130">
        <f>IF($BI$2&lt;=Vin_mode,Fsw*$BI$2*Qg_boost/1000,0)+Constants!$D$24*$BI$2*IF(Efficiency!$BI$2&lt;=18,Fsw,1.5*Fsw-Efficiency!$BI$2/36*Fsw)/1000</f>
        <v>4.3066666666666677E-2</v>
      </c>
      <c r="BY10" s="130">
        <f t="shared" ca="1" si="35"/>
        <v>0.23437396407863606</v>
      </c>
      <c r="BZ10" s="130">
        <f t="shared" ca="1" si="36"/>
        <v>9.527561211594858E-2</v>
      </c>
      <c r="CA10" s="130">
        <f t="shared" ca="1" si="37"/>
        <v>0.25647710479762398</v>
      </c>
      <c r="CB10" s="130">
        <f>IF($BI$2&gt;(5+Design!$B$26),0,Vout_typ*Constants!$D$24*Fsw/1000)</f>
        <v>0</v>
      </c>
      <c r="CC10" s="130">
        <f ca="1">(BH10/(1-BK10))^2*LoDCR/1000*(1+(CE10-25)*Constants!C$31/100)</f>
        <v>2.0267974235086819E-2</v>
      </c>
      <c r="CD10" s="130">
        <f>IF(Snubber,0.5*Snubber!$B$16/1000000000000*$BI$2^2*IF($BI$2&lt;=18,Fsw,1.5*Fsw-$BI$2/36*Fsw)*1000000,0)</f>
        <v>0</v>
      </c>
      <c r="CE10" s="131">
        <f ca="1">BY10*Design!$C$13+A10</f>
        <v>33.671836670909535</v>
      </c>
      <c r="CF10" s="131">
        <f ca="1">Constants!$D$21+Constants!$D$21*Constants!$C$22/100*(CE10-25)</f>
        <v>116.20036321970032</v>
      </c>
      <c r="CG10" s="131">
        <f ca="1">Rds_boost_max+Constants!$C$22*Rds_boost_max/100*(CE10-25)</f>
        <v>23.240072643940064</v>
      </c>
      <c r="CH10" s="130">
        <f t="shared" ca="1" si="38"/>
        <v>0.60639465522729541</v>
      </c>
      <c r="CI10" s="130">
        <f t="shared" si="39"/>
        <v>8.3921678321678339</v>
      </c>
      <c r="CJ10" s="286">
        <f t="shared" ref="CJ10:CJ13" ca="1" si="52">100*CI10/(CI10+CH10)</f>
        <v>93.261205263877287</v>
      </c>
    </row>
    <row r="11" spans="1:88" s="96" customFormat="1" ht="13.5" thickBot="1" x14ac:dyDescent="0.25">
      <c r="A11" s="95">
        <v>25</v>
      </c>
      <c r="B11" s="269">
        <f t="shared" si="41"/>
        <v>0.79999999999999993</v>
      </c>
      <c r="C11" s="218">
        <f ca="1">FORECAST(B11, OFFSET(Design!$C$19:$C$21,MATCH(B11,Design!$B$19:$B$21,1)-1,0,2), OFFSET(Design!$B$19:$B$21,MATCH(B11,Design!$B$19:$B$21,1)-1,0,2))+(Y11-25)*Design!$B$22/1000</f>
        <v>0.36612868483415489</v>
      </c>
      <c r="D11" s="250">
        <f t="shared" ca="1" si="0"/>
        <v>0.87385984938302319</v>
      </c>
      <c r="E11" s="218">
        <f>MAX(0,(1-1.844*Efficiency!$C$2/RNG))</f>
        <v>0.60485714285714287</v>
      </c>
      <c r="F11" s="126">
        <f>IF($C$2&lt;=Vin_mode,MAX(Efficiency!$C$2*E11/(Fsw*Lo),(Efficiency!$C$2*E11/(Fsw*Lo)+(Efficiency!$C$2-Vout_typ)*(1.844*Vout_typ/RNG-E11)/(Fsw*Lo))),IF(K11="DCM",D11*($C$2-Vout_typ)/(Lo*IF($C$2&lt;=18,Fsw,1.5*Fsw-$C$2/36*Fsw)),D11*($C$2-(Vout_typ+1*C11)-(L11-F11/2)*(Z11+LoDCR)/1000)/(Lo*IF($C$2&lt;=18,Fsw,1.5*Fsw-$C$2/36*Fsw))))</f>
        <v>0.27493506493506492</v>
      </c>
      <c r="G11" s="126">
        <f t="shared" ca="1" si="1"/>
        <v>0.27375262062576616</v>
      </c>
      <c r="H11" s="126">
        <f t="shared" ca="1" si="2"/>
        <v>0.16562797967357443</v>
      </c>
      <c r="I11" s="218">
        <f t="shared" ca="1" si="3"/>
        <v>0.82818108704824123</v>
      </c>
      <c r="J11" s="218">
        <f t="shared" ca="1" si="4"/>
        <v>6.9543454488949441E-2</v>
      </c>
      <c r="K11" s="218" t="str">
        <f t="shared" ca="1" si="5"/>
        <v>CCM</v>
      </c>
      <c r="L11" s="126">
        <f t="shared" ca="1" si="6"/>
        <v>2.0684675440176394</v>
      </c>
      <c r="M11" s="126">
        <f>$C$2*Constants!$C$20/1000</f>
        <v>2.7E-2</v>
      </c>
      <c r="N11" s="126">
        <f>0.5*$C$2*IF($C$2&lt;=18,Fsw,1.5*Fsw-$C$2/36*Fsw)*($C$2/Constants!$C$25+$C$2/Constants!$C$26)*10^-3*($B11/(1-Efficiency!E11))</f>
        <v>1.7816341287057121E-2</v>
      </c>
      <c r="O11" s="218">
        <f ca="1">0.5*(Vout_typ+$C11)*IF($C$2&lt;=18,Fsw,1.5*Fsw-$C$2/36*Fsw)*((Vout_typ+$C11)/Constants!$C$25+(Vout_typ+$C11)/Constants!$C$26)*10^-3*IF($C$2&lt;=Vin_mode,$B11/(1-E11),0)</f>
        <v>7.5543533540079769E-2</v>
      </c>
      <c r="P11" s="218">
        <f t="shared" ca="1" si="7"/>
        <v>0.44770422304762653</v>
      </c>
      <c r="Q11" s="126">
        <f t="shared" ca="1" si="8"/>
        <v>6.1373180852778493E-2</v>
      </c>
      <c r="R11" s="126">
        <f>IF($C$2&lt;=Vin_mode,Fsw*$C$2*Qg_boost/1000,0)+Constants!$D$24*$C$2*IF(Efficiency!$C$2&lt;=18,Fsw,1.5*Fsw-Efficiency!$C$2/36*Fsw)/1000</f>
        <v>2.8080000000000001E-2</v>
      </c>
      <c r="S11" s="126">
        <f t="shared" ca="1" si="50"/>
        <v>0.52060056433468371</v>
      </c>
      <c r="T11" s="126">
        <f t="shared" ca="1" si="9"/>
        <v>9.3502441692330157E-2</v>
      </c>
      <c r="U11" s="126">
        <f t="shared" ca="1" si="10"/>
        <v>0.2929029478673239</v>
      </c>
      <c r="V11" s="126">
        <f>IF($C$2&gt;(5+Design!$B$26),0,Vout_typ*Constants!$D$24*Fsw/1000)</f>
        <v>0</v>
      </c>
      <c r="W11" s="126">
        <f ca="1">(B11/(1-E11))^2*LoDCR/1000*(1+(Y11-25)*Constants!C$31/100)</f>
        <v>0.17636933427210932</v>
      </c>
      <c r="X11" s="126">
        <f>IF(Snubber=1,0.5*Snubber!$B$16/1000000000000*$C$2^2*IF($C$2&lt;=18,Fsw,1.5*Fsw-$C$2/36*Fsw)*1000000,0)</f>
        <v>0</v>
      </c>
      <c r="Y11" s="127">
        <f ca="1">S11*Design!$C$13+A11</f>
        <v>44.262220880383296</v>
      </c>
      <c r="Z11" s="127">
        <f ca="1">Constants!$D$21+Constants!$D$21*Constants!$C$22/100*(Y11-25)</f>
        <v>123.77248792947405</v>
      </c>
      <c r="AA11" s="127">
        <f ca="1">Rds_boost_max+Constants!$C$22*Rds_boost_max/100*(Y11-25)</f>
        <v>24.754497585894811</v>
      </c>
      <c r="AB11" s="126">
        <f t="shared" ca="1" si="11"/>
        <v>1.2202920025593054</v>
      </c>
      <c r="AC11" s="126">
        <f t="shared" si="12"/>
        <v>9.5910489510489523</v>
      </c>
      <c r="AD11" s="276">
        <f t="shared" ca="1" si="13"/>
        <v>88.712852477822963</v>
      </c>
      <c r="AE11" s="270">
        <f t="shared" si="42"/>
        <v>0.79999999999999993</v>
      </c>
      <c r="AF11" s="220">
        <f ca="1">FORECAST(AE11, OFFSET(Design!$C$19:$C$21,MATCH(AE11,Design!$B$19:$B$21,1)-1,0,2), OFFSET(Design!$B$19:$B$21,MATCH(AE11,Design!$B$19:$B$21,1)-1,0,2))+(BB11-25)*Design!$B$22/1000</f>
        <v>0.374274337048487</v>
      </c>
      <c r="AG11" s="220">
        <f t="shared" ca="1" si="14"/>
        <v>0.8305448199921226</v>
      </c>
      <c r="AH11" s="220">
        <f>MAX(0,(1-1.844*Efficiency!$AF$2/RNG))</f>
        <v>0.20971428571428574</v>
      </c>
      <c r="AI11" s="128">
        <f>IF($AF$2&lt;=Vin_mode,MAX(Efficiency!$AF$2*AH11/(Fsw*Lo),(Efficiency!$AF$2*AH11/(Fsw*Lo)+(Efficiency!$AF$2-Vout_typ)*(1.844*Vout_typ/RNG-AH11)/(Fsw*Lo))),IF(AN11="DCM",AG11*($AF$2-Vout_typ)/(Lo*IF($AF$2&lt;=18,Fsw,1.5*Fsw-$AF$2/36*Fsw)),AG11*($AF$2-(Vout_typ+1*AF11)-(AO11-AI11/2)*(BC11+LoDCR)/1000)/(Lo*IF($AF$2&lt;=18,Fsw,1.5*Fsw-$AF$2/36*Fsw))))</f>
        <v>0.19114084000339554</v>
      </c>
      <c r="AJ11" s="128">
        <f t="shared" ca="1" si="15"/>
        <v>0.19037745203170189</v>
      </c>
      <c r="AK11" s="128">
        <f t="shared" ca="1" si="16"/>
        <v>0.17223259668986871</v>
      </c>
      <c r="AL11" s="220">
        <f t="shared" ca="1" si="17"/>
        <v>0.82155991219723479</v>
      </c>
      <c r="AM11" s="220">
        <f t="shared" ca="1" si="43"/>
        <v>0.12715254797881548</v>
      </c>
      <c r="AN11" s="220" t="str">
        <f t="shared" ca="1" si="44"/>
        <v>CCM</v>
      </c>
      <c r="AO11" s="128">
        <f t="shared" ca="1" si="20"/>
        <v>1.0327845840697238</v>
      </c>
      <c r="AP11" s="128">
        <f>$AF$2*Constants!$C$20/1000</f>
        <v>5.3999999999999999E-2</v>
      </c>
      <c r="AQ11" s="128">
        <f>0.5*$AF$2*IF($AF$2&lt;=18,Fsw,1.5*Fsw-$AF$2/36*Fsw)*($AF$2/Constants!$C$25+$AF$2/Constants!$C$26)*10^-3*IF($AF$2&lt;=Vin_mode,$AE11/(1-Efficiency!AH11),$AE11)</f>
        <v>3.5632682574114241E-2</v>
      </c>
      <c r="AR11" s="220">
        <f ca="1">0.5*(Vout_typ+$AF11)*IF($AF$2&lt;=18,Fsw,1.5*Fsw-$AF$2/36*Fsw)*((Vout_typ+$AF11)/Constants!$C$25+(Vout_typ+$AF11)/Constants!$C$26)*10^-3*IF($AF$2&lt;=Vin_mode,$AE11/(1-AH11),0)</f>
        <v>3.7821589287116639E-2</v>
      </c>
      <c r="AS11" s="220">
        <f t="shared" ca="1" si="21"/>
        <v>9.9616928573674365E-2</v>
      </c>
      <c r="AT11" s="128">
        <f t="shared" ca="1" si="22"/>
        <v>5.0068777121119517E-3</v>
      </c>
      <c r="AU11" s="128">
        <f>IF($AF$2&lt;=Vin_mode,Fsw*$AF$2*Qg_boost/1000,0)+Constants!$D$24*$AF$2*IF(Efficiency!$AF$2&lt;=18,Fsw,1.5*Fsw-Efficiency!$AF$2/36*Fsw)/1000</f>
        <v>5.6160000000000002E-2</v>
      </c>
      <c r="AV11" s="128">
        <f t="shared" ca="1" si="45"/>
        <v>0.24540961114778859</v>
      </c>
      <c r="AW11" s="128">
        <f t="shared" ca="1" si="46"/>
        <v>6.4202324815352471E-2</v>
      </c>
      <c r="AX11" s="128">
        <f t="shared" ca="1" si="23"/>
        <v>0.29941946963878957</v>
      </c>
      <c r="AY11" s="128">
        <f>IF($AF$2&gt;(5+Design!$B$26),0,Vout_typ*Constants!$D$24*Fsw/1000)</f>
        <v>0</v>
      </c>
      <c r="AZ11" s="128">
        <f ca="1">(AE11/(1-AH11))^2*LoDCR/1000*(1+(BB11-25)*Constants!C$31/100)</f>
        <v>4.2452121022324471E-2</v>
      </c>
      <c r="BA11" s="128">
        <f>IF(Snubber=1,0.5*Snubber!$B$16/1000000000000*$AF$2^2*IF($AF$2&lt;=18,Fsw,1.5*Fsw-$AF$2/36*Fsw)*1000000,0)</f>
        <v>0</v>
      </c>
      <c r="BB11" s="129">
        <f ca="1">AV11*Design!$C$13+A11</f>
        <v>34.080155612468175</v>
      </c>
      <c r="BC11" s="129">
        <f ca="1">Constants!$D$21+Constants!$D$21*Constants!$C$22/100*(BB11-25)</f>
        <v>116.49231126291474</v>
      </c>
      <c r="BD11" s="129">
        <f ca="1">Rds_boost_max+Constants!$C$22*Rds_boost_max/100*(BB11-25)</f>
        <v>23.298462252582951</v>
      </c>
      <c r="BE11" s="128">
        <f t="shared" ca="1" si="47"/>
        <v>0.69431199362348361</v>
      </c>
      <c r="BF11" s="128">
        <f t="shared" si="24"/>
        <v>9.5910489510489523</v>
      </c>
      <c r="BG11" s="285">
        <f t="shared" ca="1" si="51"/>
        <v>93.249512609636525</v>
      </c>
      <c r="BH11" s="284">
        <f t="shared" si="49"/>
        <v>0.79999999999999993</v>
      </c>
      <c r="BI11" s="272">
        <f ca="1">FORECAST(BH11, OFFSET(Design!$C$19:$C$21,MATCH(BH11,Design!$B$19:$B$21,1)-1,0,2), OFFSET(Design!$B$19:$B$21,MATCH(BH11,Design!$B$19:$B$21,1)-1,0,2))+(CE11-25)*Design!$B$22/1000</f>
        <v>0.37399443011728367</v>
      </c>
      <c r="BJ11" s="272">
        <f t="shared" ca="1" si="26"/>
        <v>0.6296066076546869</v>
      </c>
      <c r="BK11" s="272">
        <f>MAX(0,(1-1.844*Efficiency!$BI$2/RNG))</f>
        <v>0</v>
      </c>
      <c r="BL11" s="130">
        <f ca="1">IF($BI$2&lt;=Vin_mode,MAX(Efficiency!$BI$2*BK11/(Fsw*Lo),(Efficiency!$BI$2*BK11/(Fsw*Lo)+(Efficiency!$BI$2-Vout_typ)*(1.844*Vout_typ/RNG-BK11)/(Fsw*Lo))),IF(BQ11="DCM",BJ11*($BI$2-Vout_typ)/(Lo*IF($BI$2&lt;=18,Fsw,1.5*Fsw-$BI$2/36*Fsw)),BJ11*($BI$2-(Vout_typ+1*BI11)-(BR11-BL11/2)*(CF11+LoDCR)/1000)/(Lo*IF($BI$2&lt;=18,Fsw,1.5*Fsw-$BI$2/36*Fsw))))</f>
        <v>0.37936998660521859</v>
      </c>
      <c r="BM11" s="130">
        <f t="shared" si="27"/>
        <v>0</v>
      </c>
      <c r="BN11" s="130">
        <f t="shared" ca="1" si="28"/>
        <v>0.38211805136482813</v>
      </c>
      <c r="BO11" s="221">
        <f t="shared" ca="1" si="29"/>
        <v>0.6262105300176708</v>
      </c>
      <c r="BP11" s="221">
        <f t="shared" ca="1" si="30"/>
        <v>0.19105902568241406</v>
      </c>
      <c r="BQ11" s="221" t="str">
        <f t="shared" ca="1" si="31"/>
        <v>CCM</v>
      </c>
      <c r="BR11" s="130">
        <f t="shared" ca="1" si="32"/>
        <v>0.98968499330260928</v>
      </c>
      <c r="BS11" s="130">
        <f>$BI$2*Constants!$C$20/1000</f>
        <v>0.09</v>
      </c>
      <c r="BT11" s="130">
        <f>0.5*$BI$2*IF($BI$2&lt;=18,Fsw,1.5*Fsw-$BI$2/36*Fsw)*($BI$2/Constants!$C$25+$BI$2/Constants!$C$26)*10^-3*IF($BI$2&lt;=Vin_mode,$BH11/(1-Efficiency!BK11),$BH11)</f>
        <v>7.387654320987655E-2</v>
      </c>
      <c r="BU11" s="221">
        <f ca="1">0.5*(Vout_typ+$BI11)*IF($BI$2&lt;=18,Fsw,1.5*Fsw-$BI$2/36*Fsw)*((Vout_typ+$BI11)/Constants!$C$25+(Vout_typ+$BI11)/Constants!$C$26)*10^-3*IF($BI$2&lt;=Vin_mode,$BH11/(1-BK11),0)</f>
        <v>0</v>
      </c>
      <c r="BV11" s="221">
        <f t="shared" ca="1" si="33"/>
        <v>4.79227165146019E-2</v>
      </c>
      <c r="BW11" s="130">
        <f t="shared" ca="1" si="34"/>
        <v>0</v>
      </c>
      <c r="BX11" s="130">
        <f>IF($BI$2&lt;=Vin_mode,Fsw*$BI$2*Qg_boost/1000,0)+Constants!$D$24*$BI$2*IF(Efficiency!$BI$2&lt;=18,Fsw,1.5*Fsw-Efficiency!$BI$2/36*Fsw)/1000</f>
        <v>4.3066666666666677E-2</v>
      </c>
      <c r="BY11" s="130">
        <f t="shared" ca="1" si="35"/>
        <v>0.25486592639114514</v>
      </c>
      <c r="BZ11" s="130">
        <f t="shared" ca="1" si="36"/>
        <v>0.11082005255151427</v>
      </c>
      <c r="CA11" s="130">
        <f t="shared" ca="1" si="37"/>
        <v>0.29919554409382693</v>
      </c>
      <c r="CB11" s="130">
        <f>IF($BI$2&gt;(5+Design!$B$26),0,Vout_typ*Constants!$D$24*Fsw/1000)</f>
        <v>0</v>
      </c>
      <c r="CC11" s="130">
        <f ca="1">(BH11/(1-BK11))^2*LoDCR/1000*(1+(CE11-25)*Constants!C$31/100)</f>
        <v>2.6548737391527327E-2</v>
      </c>
      <c r="CD11" s="130">
        <f>IF(Snubber,0.5*Snubber!$B$16/1000000000000*$BI$2^2*IF($BI$2&lt;=18,Fsw,1.5*Fsw-$BI$2/36*Fsw)*1000000,0)</f>
        <v>0</v>
      </c>
      <c r="CE11" s="131">
        <f ca="1">BY11*Design!$C$13+A11</f>
        <v>34.430039276472371</v>
      </c>
      <c r="CF11" s="131">
        <f ca="1">Constants!$D$21+Constants!$D$21*Constants!$C$22/100*(CE11-25)</f>
        <v>116.74247808267775</v>
      </c>
      <c r="CG11" s="131">
        <f ca="1">Rds_boost_max+Constants!$C$22*Rds_boost_max/100*(CE11-25)</f>
        <v>23.348495616535548</v>
      </c>
      <c r="CH11" s="130">
        <f t="shared" ca="1" si="38"/>
        <v>0.6914302604280137</v>
      </c>
      <c r="CI11" s="130">
        <f t="shared" si="39"/>
        <v>9.5910489510489523</v>
      </c>
      <c r="CJ11" s="286">
        <f t="shared" ca="1" si="52"/>
        <v>93.275646405817568</v>
      </c>
    </row>
    <row r="12" spans="1:88" s="96" customFormat="1" ht="13.5" thickBot="1" x14ac:dyDescent="0.25">
      <c r="A12" s="95">
        <v>25</v>
      </c>
      <c r="B12" s="269">
        <f t="shared" si="41"/>
        <v>0.89999999999999991</v>
      </c>
      <c r="C12" s="218">
        <f ca="1">FORECAST(B12, OFFSET(Design!$C$19:$C$21,MATCH(B12,Design!$B$19:$B$21,1)-1,0,2), OFFSET(Design!$B$19:$B$21,MATCH(B12,Design!$B$19:$B$21,1)-1,0,2))+(Y12-25)*Design!$B$22/1000</f>
        <v>0.37010558016634576</v>
      </c>
      <c r="D12" s="250">
        <f t="shared" ca="1" si="0"/>
        <v>0.8822450305080769</v>
      </c>
      <c r="E12" s="218">
        <f>MAX(0,(1-1.844*Efficiency!$C$2/RNG))</f>
        <v>0.60485714285714287</v>
      </c>
      <c r="F12" s="126">
        <f>IF($C$2&lt;=Vin_mode,MAX(Efficiency!$C$2*E12/(Fsw*Lo),(Efficiency!$C$2*E12/(Fsw*Lo)+(Efficiency!$C$2-Vout_typ)*(1.844*Vout_typ/RNG-E12)/(Fsw*Lo))),IF(K12="DCM",D12*($C$2-Vout_typ)/(Lo*IF($C$2&lt;=18,Fsw,1.5*Fsw-$C$2/36*Fsw)),D12*($C$2-(Vout_typ+1*C12)-(L12-F12/2)*(Z12+LoDCR)/1000)/(Lo*IF($C$2&lt;=18,Fsw,1.5*Fsw-$C$2/36*Fsw))))</f>
        <v>0.27493506493506492</v>
      </c>
      <c r="G12" s="126">
        <f t="shared" ca="1" si="1"/>
        <v>0.2737243036676677</v>
      </c>
      <c r="H12" s="126">
        <f t="shared" ca="1" si="2"/>
        <v>0.16530425744957272</v>
      </c>
      <c r="I12" s="218">
        <f t="shared" ca="1" si="3"/>
        <v>0.8286239465471702</v>
      </c>
      <c r="J12" s="218">
        <f t="shared" ca="1" si="4"/>
        <v>7.0623301489799867E-2</v>
      </c>
      <c r="K12" s="218" t="str">
        <f t="shared" ca="1" si="5"/>
        <v>CCM</v>
      </c>
      <c r="L12" s="126">
        <f t="shared" ca="1" si="6"/>
        <v>2.3186234257566554</v>
      </c>
      <c r="M12" s="126">
        <f>$C$2*Constants!$C$20/1000</f>
        <v>2.7E-2</v>
      </c>
      <c r="N12" s="126">
        <f>0.5*$C$2*IF($C$2&lt;=18,Fsw,1.5*Fsw-$C$2/36*Fsw)*($C$2/Constants!$C$25+$C$2/Constants!$C$26)*10^-3*($B12/(1-Efficiency!E12))</f>
        <v>2.0043383947939263E-2</v>
      </c>
      <c r="O12" s="218">
        <f ca="1">0.5*(Vout_typ+$C12)*IF($C$2&lt;=18,Fsw,1.5*Fsw-$C$2/36*Fsw)*((Vout_typ+$C12)/Constants!$C$25+(Vout_typ+$C12)/Constants!$C$26)*10^-3*IF($C$2&lt;=Vin_mode,$B12/(1-E12),0)</f>
        <v>8.5041196132274677E-2</v>
      </c>
      <c r="P12" s="218">
        <f t="shared" ca="1" si="7"/>
        <v>0.58832288555354706</v>
      </c>
      <c r="Q12" s="126">
        <f t="shared" ca="1" si="8"/>
        <v>8.004699416386217E-2</v>
      </c>
      <c r="R12" s="126">
        <f>IF($C$2&lt;=Vin_mode,Fsw*$C$2*Qg_boost/1000,0)+Constants!$D$24*$C$2*IF(Efficiency!$C$2&lt;=18,Fsw,1.5*Fsw-Efficiency!$C$2/36*Fsw)/1000</f>
        <v>2.8080000000000001E-2</v>
      </c>
      <c r="S12" s="126">
        <f t="shared" ca="1" si="50"/>
        <v>0.66344626950148633</v>
      </c>
      <c r="T12" s="126">
        <f t="shared" ca="1" si="9"/>
        <v>9.9264338104864347E-2</v>
      </c>
      <c r="U12" s="126">
        <f t="shared" ca="1" si="10"/>
        <v>0.33309502214971115</v>
      </c>
      <c r="V12" s="126">
        <f>IF($C$2&gt;(5+Design!$B$26),0,Vout_typ*Constants!$D$24*Fsw/1000)</f>
        <v>0</v>
      </c>
      <c r="W12" s="126">
        <f ca="1">(B12/(1-E12))^2*LoDCR/1000*(1+(Y12-25)*Constants!C$31/100)</f>
        <v>0.22752764640824252</v>
      </c>
      <c r="X12" s="126">
        <f>IF(Snubber=1,0.5*Snubber!$B$16/1000000000000*$C$2^2*IF($C$2&lt;=18,Fsw,1.5*Fsw-$C$2/36*Fsw)*1000000,0)</f>
        <v>0</v>
      </c>
      <c r="Y12" s="127">
        <f ca="1">S12*Design!$C$13+A12</f>
        <v>49.547511971554997</v>
      </c>
      <c r="Z12" s="127">
        <f ca="1">Constants!$D$21+Constants!$D$21*Constants!$C$22/100*(Y12-25)</f>
        <v>127.55147105966182</v>
      </c>
      <c r="AA12" s="127">
        <f ca="1">Rds_boost_max+Constants!$C$22*Rds_boost_max/100*(Y12-25)</f>
        <v>25.510294211932365</v>
      </c>
      <c r="AB12" s="126">
        <f t="shared" ca="1" si="11"/>
        <v>1.4884214664604412</v>
      </c>
      <c r="AC12" s="126">
        <f t="shared" si="12"/>
        <v>10.789930069930071</v>
      </c>
      <c r="AD12" s="276">
        <f t="shared" ca="1" si="13"/>
        <v>87.877676721919357</v>
      </c>
      <c r="AE12" s="270">
        <f t="shared" si="42"/>
        <v>0.89999999999999991</v>
      </c>
      <c r="AF12" s="220">
        <f ca="1">FORECAST(AE12, OFFSET(Design!$C$19:$C$21,MATCH(AE12,Design!$B$19:$B$21,1)-1,0,2), OFFSET(Design!$B$19:$B$21,MATCH(AE12,Design!$B$19:$B$21,1)-1,0,2))+(BB12-25)*Design!$B$22/1000</f>
        <v>0.38153152249886024</v>
      </c>
      <c r="AG12" s="220">
        <f t="shared" ca="1" si="14"/>
        <v>0.83263654330179349</v>
      </c>
      <c r="AH12" s="220">
        <f>MAX(0,(1-1.844*Efficiency!$AF$2/RNG))</f>
        <v>0.20971428571428574</v>
      </c>
      <c r="AI12" s="128">
        <f>IF($AF$2&lt;=Vin_mode,MAX(Efficiency!$AF$2*AH12/(Fsw*Lo),(Efficiency!$AF$2*AH12/(Fsw*Lo)+(Efficiency!$AF$2-Vout_typ)*(1.844*Vout_typ/RNG-AH12)/(Fsw*Lo))),IF(AN12="DCM",AG12*($AF$2-Vout_typ)/(Lo*IF($AF$2&lt;=18,Fsw,1.5*Fsw-$AF$2/36*Fsw)),AG12*($AF$2-(Vout_typ+1*AF12)-(AO12-AI12/2)*(BC12+LoDCR)/1000)/(Lo*IF($AF$2&lt;=18,Fsw,1.5*Fsw-$AF$2/36*Fsw))))</f>
        <v>0.19114084000339554</v>
      </c>
      <c r="AJ12" s="128">
        <f t="shared" ca="1" si="15"/>
        <v>0.19037591672308166</v>
      </c>
      <c r="AK12" s="128">
        <f t="shared" ca="1" si="16"/>
        <v>0.17187145482186053</v>
      </c>
      <c r="AL12" s="220">
        <f t="shared" ca="1" si="17"/>
        <v>0.82213659190732746</v>
      </c>
      <c r="AM12" s="220">
        <f t="shared" ca="1" si="43"/>
        <v>0.12720847563732615</v>
      </c>
      <c r="AN12" s="220" t="str">
        <f t="shared" ca="1" si="44"/>
        <v>CCM</v>
      </c>
      <c r="AO12" s="128">
        <f t="shared" ca="1" si="20"/>
        <v>1.1590681436997621</v>
      </c>
      <c r="AP12" s="128">
        <f>$AF$2*Constants!$C$20/1000</f>
        <v>5.3999999999999999E-2</v>
      </c>
      <c r="AQ12" s="128">
        <f>0.5*$AF$2*IF($AF$2&lt;=18,Fsw,1.5*Fsw-$AF$2/36*Fsw)*($AF$2/Constants!$C$25+$AF$2/Constants!$C$26)*10^-3*IF($AF$2&lt;=Vin_mode,$AE12/(1-Efficiency!AH12),$AE12)</f>
        <v>4.0086767895878526E-2</v>
      </c>
      <c r="AR12" s="220">
        <f ca="1">0.5*(Vout_typ+$AF12)*IF($AF$2&lt;=18,Fsw,1.5*Fsw-$AF$2/36*Fsw)*((Vout_typ+$AF12)/Constants!$C$25+(Vout_typ+$AF12)/Constants!$C$26)*10^-3*IF($AF$2&lt;=Vin_mode,$AE12/(1-AH12),0)</f>
        <v>4.2599255846837138E-2</v>
      </c>
      <c r="AS12" s="220">
        <f t="shared" ca="1" si="21"/>
        <v>0.12718793631795608</v>
      </c>
      <c r="AT12" s="128">
        <f t="shared" ca="1" si="22"/>
        <v>6.3829160201734608E-3</v>
      </c>
      <c r="AU12" s="128">
        <f>IF($AF$2&lt;=Vin_mode,Fsw*$AF$2*Qg_boost/1000,0)+Constants!$D$24*$AF$2*IF(Efficiency!$AF$2&lt;=18,Fsw,1.5*Fsw-Efficiency!$AF$2/36*Fsw)/1000</f>
        <v>5.6160000000000002E-2</v>
      </c>
      <c r="AV12" s="128">
        <f t="shared" ca="1" si="45"/>
        <v>0.27743470421383459</v>
      </c>
      <c r="AW12" s="128">
        <f t="shared" ca="1" si="46"/>
        <v>7.2719258315591895E-2</v>
      </c>
      <c r="AX12" s="128">
        <f t="shared" ca="1" si="23"/>
        <v>0.34337837024897416</v>
      </c>
      <c r="AY12" s="128">
        <f>IF($AF$2&gt;(5+Design!$B$26),0,Vout_typ*Constants!$D$24*Fsw/1000)</f>
        <v>0</v>
      </c>
      <c r="AZ12" s="128">
        <f ca="1">(AE12/(1-AH12))^2*LoDCR/1000*(1+(BB12-25)*Constants!C$31/100)</f>
        <v>5.3970045916617949E-2</v>
      </c>
      <c r="BA12" s="128">
        <f>IF(Snubber=1,0.5*Snubber!$B$16/1000000000000*$AF$2^2*IF($AF$2&lt;=18,Fsw,1.5*Fsw-$AF$2/36*Fsw)*1000000,0)</f>
        <v>0</v>
      </c>
      <c r="BB12" s="129">
        <f ca="1">AV12*Design!$C$13+A12</f>
        <v>35.265084055911878</v>
      </c>
      <c r="BC12" s="129">
        <f ca="1">Constants!$D$21+Constants!$D$21*Constants!$C$22/100*(BB12-25)</f>
        <v>117.339535099977</v>
      </c>
      <c r="BD12" s="129">
        <f ca="1">Rds_boost_max+Constants!$C$22*Rds_boost_max/100*(BB12-25)</f>
        <v>23.467907019995398</v>
      </c>
      <c r="BE12" s="128">
        <f t="shared" ca="1" si="47"/>
        <v>0.79648455056202916</v>
      </c>
      <c r="BF12" s="128">
        <f t="shared" si="24"/>
        <v>10.789930069930071</v>
      </c>
      <c r="BG12" s="285">
        <f t="shared" ca="1" si="51"/>
        <v>93.125703018142119</v>
      </c>
      <c r="BH12" s="284">
        <f t="shared" si="49"/>
        <v>0.89999999999999991</v>
      </c>
      <c r="BI12" s="272">
        <f ca="1">FORECAST(BH12, OFFSET(Design!$C$19:$C$21,MATCH(BH12,Design!$B$19:$B$21,1)-1,0,2), OFFSET(Design!$B$19:$B$21,MATCH(BH12,Design!$B$19:$B$21,1)-1,0,2))+(CE12-25)*Design!$B$22/1000</f>
        <v>0.38154435756569915</v>
      </c>
      <c r="BJ12" s="272">
        <f t="shared" ca="1" si="26"/>
        <v>0.63069303640279017</v>
      </c>
      <c r="BK12" s="272">
        <f>MAX(0,(1-1.844*Efficiency!$BI$2/RNG))</f>
        <v>0</v>
      </c>
      <c r="BL12" s="130">
        <f ca="1">IF($BI$2&lt;=Vin_mode,MAX(Efficiency!$BI$2*BK12/(Fsw*Lo),(Efficiency!$BI$2*BK12/(Fsw*Lo)+(Efficiency!$BI$2-Vout_typ)*(1.844*Vout_typ/RNG-BK12)/(Fsw*Lo))),IF(BQ12="DCM",BJ12*($BI$2-Vout_typ)/(Lo*IF($BI$2&lt;=18,Fsw,1.5*Fsw-$BI$2/36*Fsw)),BJ12*($BI$2-(Vout_typ+1*BI12)-(BR12-BL12/2)*(CF12+LoDCR)/1000)/(Lo*IF($BI$2&lt;=18,Fsw,1.5*Fsw-$BI$2/36*Fsw))))</f>
        <v>0.37882303350080926</v>
      </c>
      <c r="BM12" s="130">
        <f t="shared" si="27"/>
        <v>0</v>
      </c>
      <c r="BN12" s="130">
        <f t="shared" ca="1" si="28"/>
        <v>0.38204601131164945</v>
      </c>
      <c r="BO12" s="221">
        <f t="shared" ca="1" si="29"/>
        <v>0.62672322303869765</v>
      </c>
      <c r="BP12" s="221">
        <f t="shared" ca="1" si="30"/>
        <v>0.19102300565582472</v>
      </c>
      <c r="BQ12" s="221" t="str">
        <f t="shared" ca="1" si="31"/>
        <v>CCM</v>
      </c>
      <c r="BR12" s="130">
        <f t="shared" ca="1" si="32"/>
        <v>1.0894115167504046</v>
      </c>
      <c r="BS12" s="130">
        <f>$BI$2*Constants!$C$20/1000</f>
        <v>0.09</v>
      </c>
      <c r="BT12" s="130">
        <f>0.5*$BI$2*IF($BI$2&lt;=18,Fsw,1.5*Fsw-$BI$2/36*Fsw)*($BI$2/Constants!$C$25+$BI$2/Constants!$C$26)*10^-3*IF($BI$2&lt;=Vin_mode,$BH12/(1-Efficiency!BK12),$BH12)</f>
        <v>8.3111111111111122E-2</v>
      </c>
      <c r="BU12" s="221">
        <f ca="1">0.5*(Vout_typ+$BI12)*IF($BI$2&lt;=18,Fsw,1.5*Fsw-$BI$2/36*Fsw)*((Vout_typ+$BI12)/Constants!$C$25+(Vout_typ+$BI12)/Constants!$C$26)*10^-3*IF($BI$2&lt;=Vin_mode,$BH12/(1-BK12),0)</f>
        <v>0</v>
      </c>
      <c r="BV12" s="221">
        <f t="shared" ca="1" si="33"/>
        <v>6.0823309313121347E-2</v>
      </c>
      <c r="BW12" s="130">
        <f t="shared" ca="1" si="34"/>
        <v>0</v>
      </c>
      <c r="BX12" s="130">
        <f>IF($BI$2&lt;=Vin_mode,Fsw*$BI$2*Qg_boost/1000,0)+Constants!$D$24*$BI$2*IF(Efficiency!$BI$2&lt;=18,Fsw,1.5*Fsw-Efficiency!$BI$2/36*Fsw)/1000</f>
        <v>4.3066666666666677E-2</v>
      </c>
      <c r="BY12" s="130">
        <f t="shared" ca="1" si="35"/>
        <v>0.27700108709089916</v>
      </c>
      <c r="BZ12" s="130">
        <f t="shared" ca="1" si="36"/>
        <v>0.12681628935321279</v>
      </c>
      <c r="CA12" s="130">
        <f t="shared" ca="1" si="37"/>
        <v>0.34338992180912919</v>
      </c>
      <c r="CB12" s="130">
        <f>IF($BI$2&gt;(5+Design!$B$26),0,Vout_typ*Constants!$D$24*Fsw/1000)</f>
        <v>0</v>
      </c>
      <c r="CC12" s="130">
        <f ca="1">(BH12/(1-BK12))^2*LoDCR/1000*(1+(CE12-25)*Constants!C$31/100)</f>
        <v>3.370503078959395E-2</v>
      </c>
      <c r="CD12" s="130">
        <f>IF(Snubber,0.5*Snubber!$B$16/1000000000000*$BI$2^2*IF($BI$2&lt;=18,Fsw,1.5*Fsw-$BI$2/36*Fsw)*1000000,0)</f>
        <v>0</v>
      </c>
      <c r="CE12" s="131">
        <f ca="1">BY12*Design!$C$13+A12</f>
        <v>35.24904022236327</v>
      </c>
      <c r="CF12" s="131">
        <f ca="1">Constants!$D$21+Constants!$D$21*Constants!$C$22/100*(CE12-25)</f>
        <v>117.32806375898974</v>
      </c>
      <c r="CG12" s="131">
        <f ca="1">Rds_boost_max+Constants!$C$22*Rds_boost_max/100*(CE12-25)</f>
        <v>23.465612751797948</v>
      </c>
      <c r="CH12" s="130">
        <f t="shared" ca="1" si="38"/>
        <v>0.78091232904283514</v>
      </c>
      <c r="CI12" s="130">
        <f t="shared" si="39"/>
        <v>10.789930069930071</v>
      </c>
      <c r="CJ12" s="286">
        <f t="shared" ca="1" si="52"/>
        <v>93.251033052596483</v>
      </c>
    </row>
    <row r="13" spans="1:88" s="96" customFormat="1" ht="13.5" thickBot="1" x14ac:dyDescent="0.25">
      <c r="A13" s="257">
        <v>25</v>
      </c>
      <c r="B13" s="269">
        <f t="shared" si="41"/>
        <v>0.99999999999999989</v>
      </c>
      <c r="C13" s="250">
        <f ca="1">FORECAST(B13, OFFSET(Design!$C$19:$C$21,MATCH(B13,Design!$B$19:$B$21,1)-1,0,2), OFFSET(Design!$B$19:$B$21,MATCH(B13,Design!$B$19:$B$21,1)-1,0,2))+(Y13-25)*Design!$B$22/1000</f>
        <v>0.37319388855565055</v>
      </c>
      <c r="D13" s="250">
        <f ca="1">IF($C$2&lt;=Vin_mode,((E13-1)*(Vout_typ+C13)-C13-(L13-F13/2)*(AA13*E13/1000+LoDCR/1000))/((L13-F13/2)*Z13/1000-$C$2-C13),IF(K13="DCM",(Vout_typ)/($C$2)*2*B13/L13,(Vout_typ+2*C13+(L13-F13/2)*LoDCR/1000)/($C$2+C13-(L13-F13/2)*Z13/1000)))</f>
        <v>0.89128598920230651</v>
      </c>
      <c r="E13" s="250">
        <f>MAX(0,(1-1.844*Efficiency!$C$2/RNG))</f>
        <v>0.60485714285714287</v>
      </c>
      <c r="F13" s="251">
        <f>IF($C$2&lt;=Vin_mode,MAX(Efficiency!$C$2*E13/(Fsw*Lo),(Efficiency!$C$2*E13/(Fsw*Lo)+(Efficiency!$C$2-Vout_typ)*(1.844*Vout_typ/RNG-E13)/(Fsw*Lo))),IF(K13="DCM",D13*($C$2-Vout_typ)/(Lo*IF($C$2&lt;=18,Fsw,1.5*Fsw-$C$2/36*Fsw)),D13*($C$2-(Vout_typ+1*C13)-(L13-F13/2)*(Z13+LoDCR)/1000)/(Lo*IF($C$2&lt;=18,Fsw,1.5*Fsw-$C$2/36*Fsw))))</f>
        <v>0.27493506493506492</v>
      </c>
      <c r="G13" s="251">
        <f t="shared" ca="1" si="1"/>
        <v>0.27369004357470023</v>
      </c>
      <c r="H13" s="251">
        <f t="shared" ca="1" si="2"/>
        <v>0.16501605578198264</v>
      </c>
      <c r="I13" s="250">
        <f t="shared" ca="1" si="3"/>
        <v>0.82900560833421111</v>
      </c>
      <c r="J13" s="250">
        <f t="shared" ca="1" si="4"/>
        <v>7.1798819596698329E-2</v>
      </c>
      <c r="K13" s="250" t="str">
        <f t="shared" ca="1" si="5"/>
        <v>CCM</v>
      </c>
      <c r="L13" s="251">
        <f t="shared" ca="1" si="6"/>
        <v>2.5685511669063823</v>
      </c>
      <c r="M13" s="251">
        <f>$C$2*Constants!$C$20/1000</f>
        <v>2.7E-2</v>
      </c>
      <c r="N13" s="126">
        <f>0.5*$C$2*IF($C$2&lt;=18,Fsw,1.5*Fsw-$C$2/36*Fsw)*($C$2/Constants!$C$25+$C$2/Constants!$C$26)*10^-3*($B13/(1-Efficiency!E13))</f>
        <v>2.2270426608821402E-2</v>
      </c>
      <c r="O13" s="218">
        <f ca="1">0.5*(Vout_typ+$C13)*IF($C$2&lt;=18,Fsw,1.5*Fsw-$C$2/36*Fsw)*((Vout_typ+$C13)/Constants!$C$25+(Vout_typ+$C13)/Constants!$C$26)*10^-3*IF($C$2&lt;=Vin_mode,$B13/(1-E13),0)</f>
        <v>9.4537447208395242E-2</v>
      </c>
      <c r="P13" s="218">
        <f t="shared" ca="1" si="7"/>
        <v>0.75896137721102297</v>
      </c>
      <c r="Q13" s="251">
        <f t="shared" ca="1" si="8"/>
        <v>0.10236660919487851</v>
      </c>
      <c r="R13" s="126">
        <f>IF($C$2&lt;=Vin_mode,Fsw*$C$2*Qg_boost/1000,0)+Constants!$D$24*$C$2*IF(Efficiency!$C$2&lt;=18,Fsw,1.5*Fsw-Efficiency!$C$2/36*Fsw)/1000</f>
        <v>2.8080000000000001E-2</v>
      </c>
      <c r="S13" s="251">
        <f t="shared" ca="1" si="50"/>
        <v>0.83631180381984438</v>
      </c>
      <c r="T13" s="126">
        <f t="shared" ca="1" si="9"/>
        <v>0.10267528236099259</v>
      </c>
      <c r="U13" s="251">
        <f t="shared" ca="1" si="10"/>
        <v>0.3731938885556505</v>
      </c>
      <c r="V13" s="126">
        <f>IF($C$2&gt;(5+Design!$B$26),0,Vout_typ*Constants!$D$24*Fsw/1000)</f>
        <v>0</v>
      </c>
      <c r="W13" s="126">
        <f ca="1">(B13/(1-E13))^2*LoDCR/1000*(1+(Y13-25)*Constants!C$31/100)</f>
        <v>0.28733786240355191</v>
      </c>
      <c r="X13" s="126">
        <f>IF(Snubber=1,0.5*Snubber!$B$16/1000000000000*$C$2^2*IF($C$2&lt;=18,Fsw,1.5*Fsw-$C$2/36*Fsw)*1000000,0)</f>
        <v>0</v>
      </c>
      <c r="Y13" s="252">
        <f ca="1">S13*Design!$C$13+A13</f>
        <v>55.943536741334242</v>
      </c>
      <c r="Z13" s="252">
        <f ca="1">Constants!$D$21+Constants!$D$21*Constants!$C$22/100*(Y13-25)</f>
        <v>132.12462877005399</v>
      </c>
      <c r="AA13" s="127">
        <f ca="1">Rds_boost_max+Constants!$C$22*Rds_boost_max/100*(Y13-25)</f>
        <v>26.424925754010797</v>
      </c>
      <c r="AB13" s="251">
        <f t="shared" ca="1" si="11"/>
        <v>1.7964228935433131</v>
      </c>
      <c r="AC13" s="251">
        <f t="shared" si="12"/>
        <v>11.988811188811189</v>
      </c>
      <c r="AD13" s="276">
        <f t="shared" ca="1" si="13"/>
        <v>86.968499172293448</v>
      </c>
      <c r="AE13" s="270">
        <f t="shared" si="42"/>
        <v>0.99999999999999989</v>
      </c>
      <c r="AF13" s="258">
        <f ca="1">FORECAST(AE13, OFFSET(Design!$C$19:$C$21,MATCH(AE13,Design!$B$19:$B$21,1)-1,0,2), OFFSET(Design!$B$19:$B$21,MATCH(AE13,Design!$B$19:$B$21,1)-1,0,2))+(BB13-25)*Design!$B$22/1000</f>
        <v>0.38867562573535452</v>
      </c>
      <c r="AG13" s="258">
        <f t="shared" ca="1" si="14"/>
        <v>0.8347461955767097</v>
      </c>
      <c r="AH13" s="258">
        <f>MAX(0,(1-1.844*Efficiency!$AF$2/RNG))</f>
        <v>0.20971428571428574</v>
      </c>
      <c r="AI13" s="259">
        <f>IF($AF$2&lt;=Vin_mode,MAX(Efficiency!$AF$2*AH13/(Fsw*Lo),(Efficiency!$AF$2*AH13/(Fsw*Lo)+(Efficiency!$AF$2-Vout_typ)*(1.844*Vout_typ/RNG-AH13)/(Fsw*Lo))),IF(AN13="DCM",AG13*($AF$2-Vout_typ)/(Lo*IF($AF$2&lt;=18,Fsw,1.5*Fsw-$AF$2/36*Fsw)),AG13*($AF$2-(Vout_typ+1*AF13)-(AO13-AI13/2)*(BC13+LoDCR)/1000)/(Lo*IF($AF$2&lt;=18,Fsw,1.5*Fsw-$AF$2/36*Fsw))))</f>
        <v>0.19114084000339554</v>
      </c>
      <c r="AJ13" s="259">
        <f t="shared" ca="1" si="15"/>
        <v>0.19037419829342836</v>
      </c>
      <c r="AK13" s="259">
        <f t="shared" ca="1" si="16"/>
        <v>0.1715141466821716</v>
      </c>
      <c r="AL13" s="258">
        <f t="shared" ca="1" si="17"/>
        <v>0.82270485948321104</v>
      </c>
      <c r="AM13" s="258">
        <f t="shared" ca="1" si="43"/>
        <v>0.12726756433434705</v>
      </c>
      <c r="AN13" s="258" t="str">
        <f t="shared" ca="1" si="44"/>
        <v>CCM</v>
      </c>
      <c r="AO13" s="259">
        <f t="shared" ca="1" si="20"/>
        <v>1.2853495351535222</v>
      </c>
      <c r="AP13" s="259">
        <f>$AF$2*Constants!$C$20/1000</f>
        <v>5.3999999999999999E-2</v>
      </c>
      <c r="AQ13" s="128">
        <f>0.5*$AF$2*IF($AF$2&lt;=18,Fsw,1.5*Fsw-$AF$2/36*Fsw)*($AF$2/Constants!$C$25+$AF$2/Constants!$C$26)*10^-3*IF($AF$2&lt;=Vin_mode,$AE13/(1-Efficiency!AH13),$AE13)</f>
        <v>4.4540853217642805E-2</v>
      </c>
      <c r="AR13" s="220">
        <f ca="1">0.5*(Vout_typ+$AF13)*IF($AF$2&lt;=18,Fsw,1.5*Fsw-$AF$2/36*Fsw)*((Vout_typ+$AF13)/Constants!$C$25+(Vout_typ+$AF13)/Constants!$C$26)*10^-3*IF($AF$2&lt;=Vin_mode,$AE13/(1-AH13),0)</f>
        <v>4.7387193090741006E-2</v>
      </c>
      <c r="AS13" s="220">
        <f t="shared" ca="1" si="21"/>
        <v>0.15857928912571576</v>
      </c>
      <c r="AT13" s="128">
        <f t="shared" ca="1" si="22"/>
        <v>7.9438273922123968E-3</v>
      </c>
      <c r="AU13" s="128">
        <f>IF($AF$2&lt;=Vin_mode,Fsw*$AF$2*Qg_boost/1000,0)+Constants!$D$24*$AF$2*IF(Efficiency!$AF$2&lt;=18,Fsw,1.5*Fsw-Efficiency!$AF$2/36*Fsw)/1000</f>
        <v>5.6160000000000002E-2</v>
      </c>
      <c r="AV13" s="128">
        <f t="shared" ca="1" si="45"/>
        <v>0.31328014234335855</v>
      </c>
      <c r="AW13" s="128">
        <f t="shared" ca="1" si="46"/>
        <v>8.1274562703469208E-2</v>
      </c>
      <c r="AX13" s="128">
        <f t="shared" ca="1" si="23"/>
        <v>0.38867562573535447</v>
      </c>
      <c r="AY13" s="128">
        <f>IF($AF$2&gt;(5+Design!$B$26),0,Vout_typ*Constants!$D$24*Fsw/1000)</f>
        <v>0</v>
      </c>
      <c r="AZ13" s="128">
        <f ca="1">(AE13/(1-AH13))^2*LoDCR/1000*(1+(BB13-25)*Constants!C$31/100)</f>
        <v>6.6963512114893251E-2</v>
      </c>
      <c r="BA13" s="128">
        <f>IF(Snubber=1,0.5*Snubber!$B$16/1000000000000*$AF$2^2*IF($AF$2&lt;=18,Fsw,1.5*Fsw-$AF$2/36*Fsw)*1000000,0)</f>
        <v>0</v>
      </c>
      <c r="BB13" s="129">
        <f ca="1">AV13*Design!$C$13+A13</f>
        <v>36.591365266704265</v>
      </c>
      <c r="BC13" s="129">
        <f ca="1">Constants!$D$21+Constants!$D$21*Constants!$C$22/100*(BB13-25)</f>
        <v>118.28782616569355</v>
      </c>
      <c r="BD13" s="129">
        <f ca="1">Rds_boost_max+Constants!$C$22*Rds_boost_max/100*(BB13-25)</f>
        <v>23.657565233138712</v>
      </c>
      <c r="BE13" s="259">
        <f t="shared" ca="1" si="47"/>
        <v>0.90552486338002891</v>
      </c>
      <c r="BF13" s="259">
        <f t="shared" si="24"/>
        <v>11.988811188811189</v>
      </c>
      <c r="BG13" s="285">
        <f t="shared" ca="1" si="51"/>
        <v>92.977344008138004</v>
      </c>
      <c r="BH13" s="284">
        <f t="shared" si="49"/>
        <v>0.99999999999999989</v>
      </c>
      <c r="BI13" s="272">
        <f ca="1">FORECAST(BH13, OFFSET(Design!$C$19:$C$21,MATCH(BH13,Design!$B$19:$B$21,1)-1,0,2), OFFSET(Design!$B$19:$B$21,MATCH(BH13,Design!$B$19:$B$21,1)-1,0,2))+(CE13-25)*Design!$B$22/1000</f>
        <v>0.38904430210784147</v>
      </c>
      <c r="BJ13" s="272">
        <f t="shared" ca="1" si="26"/>
        <v>0.6317816324876806</v>
      </c>
      <c r="BK13" s="272">
        <f>MAX(0,(1-1.844*Efficiency!$BI$2/RNG))</f>
        <v>0</v>
      </c>
      <c r="BL13" s="273">
        <f ca="1">IF($BI$2&lt;=Vin_mode,MAX(Efficiency!$BI$2*BK13/(Fsw*Lo),(Efficiency!$BI$2*BK13/(Fsw*Lo)+(Efficiency!$BI$2-Vout_typ)*(1.844*Vout_typ/RNG-BK13)/(Fsw*Lo))),IF(BQ13="DCM",BJ13*($BI$2-Vout_typ)/(Lo*IF($BI$2&lt;=18,Fsw,1.5*Fsw-$BI$2/36*Fsw)),BJ13*($BI$2-(Vout_typ+1*BI13)-(BR13-BL13/2)*(CF13+LoDCR)/1000)/(Lo*IF($BI$2&lt;=18,Fsw,1.5*Fsw-$BI$2/36*Fsw))))</f>
        <v>0.3782675723007124</v>
      </c>
      <c r="BM13" s="273">
        <f t="shared" si="27"/>
        <v>0</v>
      </c>
      <c r="BN13" s="273">
        <f t="shared" ca="1" si="28"/>
        <v>0.38197331007561924</v>
      </c>
      <c r="BO13" s="272">
        <f t="shared" ca="1" si="29"/>
        <v>0.62723243197706624</v>
      </c>
      <c r="BP13" s="272">
        <f t="shared" ca="1" si="30"/>
        <v>0.19098665503780962</v>
      </c>
      <c r="BQ13" s="272" t="str">
        <f t="shared" ca="1" si="31"/>
        <v>CCM</v>
      </c>
      <c r="BR13" s="273">
        <f t="shared" ca="1" si="32"/>
        <v>1.1891337861503561</v>
      </c>
      <c r="BS13" s="273">
        <f>$BI$2*Constants!$C$20/1000</f>
        <v>0.09</v>
      </c>
      <c r="BT13" s="273">
        <f>0.5*$BI$2*IF($BI$2&lt;=18,Fsw,1.5*Fsw-$BI$2/36*Fsw)*($BI$2/Constants!$C$25+$BI$2/Constants!$C$26)*10^-3*IF($BI$2&lt;=Vin_mode,$BH13/(1-Efficiency!BK13),$BH13)</f>
        <v>9.234567901234568E-2</v>
      </c>
      <c r="BU13" s="272">
        <f ca="1">0.5*(Vout_typ+$BI13)*IF($BI$2&lt;=18,Fsw,1.5*Fsw-$BI$2/36*Fsw)*((Vout_typ+$BI13)/Constants!$C$25+(Vout_typ+$BI13)/Constants!$C$26)*10^-3*IF($BI$2&lt;=Vin_mode,$BH13/(1-BK13),0)</f>
        <v>0</v>
      </c>
      <c r="BV13" s="272">
        <f t="shared" ca="1" si="33"/>
        <v>7.5412513810057785E-2</v>
      </c>
      <c r="BW13" s="273">
        <f t="shared" ca="1" si="34"/>
        <v>0</v>
      </c>
      <c r="BX13" s="273">
        <f>IF($BI$2&lt;=Vin_mode,Fsw*$BI$2*Qg_boost/1000,0)+Constants!$D$24*$BI$2*IF(Efficiency!$BI$2&lt;=18,Fsw,1.5*Fsw-Efficiency!$BI$2/36*Fsw)/1000</f>
        <v>4.3066666666666677E-2</v>
      </c>
      <c r="BY13" s="273">
        <f t="shared" ca="1" si="35"/>
        <v>0.30082485948907012</v>
      </c>
      <c r="BZ13" s="273">
        <f t="shared" ca="1" si="36"/>
        <v>0.14325325781211898</v>
      </c>
      <c r="CA13" s="273">
        <f t="shared" ca="1" si="37"/>
        <v>0.38904430210784141</v>
      </c>
      <c r="CB13" s="273">
        <f>IF($BI$2&gt;(5+Design!$B$26),0,Vout_typ*Constants!$D$24*Fsw/1000)</f>
        <v>0</v>
      </c>
      <c r="CC13" s="273">
        <f ca="1">(BH13/(1-BK13))^2*LoDCR/1000*(1+(CE13-25)*Constants!C$31/100)</f>
        <v>4.1749717712732219E-2</v>
      </c>
      <c r="CD13" s="273">
        <f>IF(Snubber,0.5*Snubber!$B$16/1000000000000*$BI$2^2*IF($BI$2&lt;=18,Fsw,1.5*Fsw-$BI$2/36*Fsw)*1000000,0)</f>
        <v>0</v>
      </c>
      <c r="CE13" s="274">
        <f ca="1">BY13*Design!$C$13+A13</f>
        <v>36.130519801095595</v>
      </c>
      <c r="CF13" s="274">
        <f ca="1">Constants!$D$21+Constants!$D$21*Constants!$C$22/100*(CE13-25)</f>
        <v>117.95832165778334</v>
      </c>
      <c r="CG13" s="274">
        <f ca="1">Rds_boost_max+Constants!$C$22*Rds_boost_max/100*(CE13-25)</f>
        <v>23.591664331556672</v>
      </c>
      <c r="CH13" s="273">
        <f t="shared" ca="1" si="38"/>
        <v>0.87487213712176271</v>
      </c>
      <c r="CI13" s="273">
        <f t="shared" si="39"/>
        <v>11.988811188811189</v>
      </c>
      <c r="CJ13" s="286">
        <f t="shared" ca="1" si="52"/>
        <v>93.198898675016068</v>
      </c>
    </row>
    <row r="14" spans="1:88" s="96" customFormat="1" ht="13.5" thickBot="1" x14ac:dyDescent="0.25">
      <c r="A14" s="95"/>
      <c r="B14" s="253"/>
      <c r="C14" s="254"/>
      <c r="D14" s="254"/>
      <c r="E14" s="254"/>
      <c r="F14" s="255"/>
      <c r="G14" s="271"/>
      <c r="H14" s="271"/>
      <c r="I14" s="271"/>
      <c r="J14" s="271"/>
      <c r="K14" s="271" t="s">
        <v>313</v>
      </c>
      <c r="L14" s="255"/>
      <c r="M14" s="255"/>
      <c r="N14" s="163" t="s">
        <v>280</v>
      </c>
      <c r="O14" s="163" t="s">
        <v>281</v>
      </c>
      <c r="P14" s="163" t="s">
        <v>280</v>
      </c>
      <c r="Q14" s="163" t="s">
        <v>281</v>
      </c>
      <c r="R14" s="163"/>
      <c r="S14" s="163"/>
      <c r="T14" s="163" t="s">
        <v>280</v>
      </c>
      <c r="U14" s="163" t="s">
        <v>281</v>
      </c>
      <c r="V14" s="163"/>
      <c r="W14" s="163"/>
      <c r="X14" s="163"/>
      <c r="Y14" s="163"/>
      <c r="Z14" s="163" t="s">
        <v>280</v>
      </c>
      <c r="AA14" s="163" t="s">
        <v>281</v>
      </c>
      <c r="AB14" s="255"/>
      <c r="AC14" s="255"/>
      <c r="AD14" s="256"/>
      <c r="AE14" s="253"/>
      <c r="AF14" s="254"/>
      <c r="AG14" s="254"/>
      <c r="AH14" s="254"/>
      <c r="AI14" s="255"/>
      <c r="AJ14" s="271"/>
      <c r="AK14" s="271"/>
      <c r="AL14" s="271"/>
      <c r="AM14" s="271"/>
      <c r="AN14" s="271" t="s">
        <v>313</v>
      </c>
      <c r="AO14" s="255"/>
      <c r="AP14" s="255"/>
      <c r="AQ14" s="163" t="s">
        <v>280</v>
      </c>
      <c r="AR14" s="163" t="s">
        <v>281</v>
      </c>
      <c r="AS14" s="163" t="s">
        <v>280</v>
      </c>
      <c r="AT14" s="163" t="s">
        <v>281</v>
      </c>
      <c r="AU14" s="163"/>
      <c r="AV14" s="163"/>
      <c r="AW14" s="163" t="s">
        <v>280</v>
      </c>
      <c r="AX14" s="163" t="s">
        <v>281</v>
      </c>
      <c r="AY14" s="163"/>
      <c r="AZ14" s="163"/>
      <c r="BA14" s="163"/>
      <c r="BB14" s="163"/>
      <c r="BC14" s="163" t="s">
        <v>280</v>
      </c>
      <c r="BD14" s="163" t="s">
        <v>281</v>
      </c>
      <c r="BE14" s="255"/>
      <c r="BF14" s="255"/>
      <c r="BG14" s="256"/>
      <c r="BH14" s="253"/>
      <c r="BI14" s="254"/>
      <c r="BJ14" s="254"/>
      <c r="BK14" s="254"/>
      <c r="BL14" s="255"/>
      <c r="BM14" s="271"/>
      <c r="BN14" s="271"/>
      <c r="BO14" s="271"/>
      <c r="BP14" s="271"/>
      <c r="BQ14" s="271" t="s">
        <v>313</v>
      </c>
      <c r="BR14" s="255"/>
      <c r="BS14" s="255"/>
      <c r="BT14" s="271" t="s">
        <v>280</v>
      </c>
      <c r="BU14" s="271" t="s">
        <v>281</v>
      </c>
      <c r="BV14" s="271" t="s">
        <v>280</v>
      </c>
      <c r="BW14" s="271" t="s">
        <v>281</v>
      </c>
      <c r="BX14" s="271"/>
      <c r="BY14" s="271"/>
      <c r="BZ14" s="271" t="s">
        <v>280</v>
      </c>
      <c r="CA14" s="271" t="s">
        <v>281</v>
      </c>
      <c r="CB14" s="271"/>
      <c r="CC14" s="271"/>
      <c r="CD14" s="271"/>
      <c r="CE14" s="271"/>
      <c r="CF14" s="271" t="s">
        <v>280</v>
      </c>
      <c r="CG14" s="271" t="s">
        <v>281</v>
      </c>
      <c r="CH14" s="255"/>
      <c r="CI14" s="255"/>
      <c r="CJ14" s="256"/>
    </row>
    <row r="15" spans="1:88" ht="15.75" thickBot="1" x14ac:dyDescent="0.3">
      <c r="A15" s="123" t="s">
        <v>171</v>
      </c>
      <c r="B15" s="139" t="s">
        <v>82</v>
      </c>
      <c r="C15" s="137" t="s">
        <v>192</v>
      </c>
      <c r="D15" s="132" t="s">
        <v>276</v>
      </c>
      <c r="E15" s="132" t="s">
        <v>277</v>
      </c>
      <c r="F15" s="132" t="s">
        <v>191</v>
      </c>
      <c r="G15" s="132" t="s">
        <v>315</v>
      </c>
      <c r="H15" s="132" t="s">
        <v>316</v>
      </c>
      <c r="I15" s="132" t="s">
        <v>311</v>
      </c>
      <c r="J15" s="132" t="s">
        <v>312</v>
      </c>
      <c r="K15" s="132" t="s">
        <v>314</v>
      </c>
      <c r="L15" s="132" t="s">
        <v>301</v>
      </c>
      <c r="M15" s="132" t="s">
        <v>278</v>
      </c>
      <c r="N15" s="132" t="s">
        <v>83</v>
      </c>
      <c r="O15" s="132" t="s">
        <v>83</v>
      </c>
      <c r="P15" s="132" t="s">
        <v>84</v>
      </c>
      <c r="Q15" s="132" t="s">
        <v>84</v>
      </c>
      <c r="R15" s="132" t="s">
        <v>162</v>
      </c>
      <c r="S15" s="132" t="s">
        <v>202</v>
      </c>
      <c r="T15" s="132" t="s">
        <v>203</v>
      </c>
      <c r="U15" s="132" t="s">
        <v>285</v>
      </c>
      <c r="V15" s="132" t="s">
        <v>303</v>
      </c>
      <c r="W15" s="132" t="s">
        <v>204</v>
      </c>
      <c r="X15" s="132" t="s">
        <v>214</v>
      </c>
      <c r="Y15" s="132" t="s">
        <v>217</v>
      </c>
      <c r="Z15" s="132" t="s">
        <v>97</v>
      </c>
      <c r="AA15" s="132" t="s">
        <v>97</v>
      </c>
      <c r="AB15" s="132" t="s">
        <v>279</v>
      </c>
      <c r="AC15" s="132" t="s">
        <v>205</v>
      </c>
      <c r="AD15" s="140" t="s">
        <v>198</v>
      </c>
      <c r="AE15" s="139" t="s">
        <v>82</v>
      </c>
      <c r="AF15" s="137" t="s">
        <v>192</v>
      </c>
      <c r="AG15" s="132" t="s">
        <v>276</v>
      </c>
      <c r="AH15" s="132" t="s">
        <v>277</v>
      </c>
      <c r="AI15" s="132" t="s">
        <v>191</v>
      </c>
      <c r="AJ15" s="132" t="s">
        <v>315</v>
      </c>
      <c r="AK15" s="132" t="s">
        <v>316</v>
      </c>
      <c r="AL15" s="132" t="s">
        <v>311</v>
      </c>
      <c r="AM15" s="132" t="s">
        <v>312</v>
      </c>
      <c r="AN15" s="132" t="s">
        <v>314</v>
      </c>
      <c r="AO15" s="132" t="s">
        <v>301</v>
      </c>
      <c r="AP15" s="132" t="s">
        <v>278</v>
      </c>
      <c r="AQ15" s="132" t="s">
        <v>83</v>
      </c>
      <c r="AR15" s="132" t="s">
        <v>83</v>
      </c>
      <c r="AS15" s="132" t="s">
        <v>84</v>
      </c>
      <c r="AT15" s="132" t="s">
        <v>84</v>
      </c>
      <c r="AU15" s="132" t="s">
        <v>162</v>
      </c>
      <c r="AV15" s="132" t="s">
        <v>202</v>
      </c>
      <c r="AW15" s="132" t="s">
        <v>203</v>
      </c>
      <c r="AX15" s="132" t="s">
        <v>285</v>
      </c>
      <c r="AY15" s="132" t="s">
        <v>303</v>
      </c>
      <c r="AZ15" s="132" t="s">
        <v>204</v>
      </c>
      <c r="BA15" s="132" t="s">
        <v>214</v>
      </c>
      <c r="BB15" s="132" t="s">
        <v>217</v>
      </c>
      <c r="BC15" s="132" t="s">
        <v>97</v>
      </c>
      <c r="BD15" s="132" t="s">
        <v>97</v>
      </c>
      <c r="BE15" s="132" t="s">
        <v>279</v>
      </c>
      <c r="BF15" s="132" t="s">
        <v>205</v>
      </c>
      <c r="BG15" s="140" t="s">
        <v>198</v>
      </c>
      <c r="BH15" s="139" t="s">
        <v>82</v>
      </c>
      <c r="BI15" s="137" t="s">
        <v>192</v>
      </c>
      <c r="BJ15" s="132" t="s">
        <v>276</v>
      </c>
      <c r="BK15" s="132" t="s">
        <v>277</v>
      </c>
      <c r="BL15" s="132" t="s">
        <v>191</v>
      </c>
      <c r="BM15" s="132" t="s">
        <v>315</v>
      </c>
      <c r="BN15" s="132" t="s">
        <v>316</v>
      </c>
      <c r="BO15" s="132" t="s">
        <v>311</v>
      </c>
      <c r="BP15" s="132" t="s">
        <v>312</v>
      </c>
      <c r="BQ15" s="132" t="s">
        <v>314</v>
      </c>
      <c r="BR15" s="132" t="s">
        <v>301</v>
      </c>
      <c r="BS15" s="132" t="s">
        <v>278</v>
      </c>
      <c r="BT15" s="132" t="s">
        <v>83</v>
      </c>
      <c r="BU15" s="132" t="s">
        <v>83</v>
      </c>
      <c r="BV15" s="132" t="s">
        <v>84</v>
      </c>
      <c r="BW15" s="132" t="s">
        <v>84</v>
      </c>
      <c r="BX15" s="132" t="s">
        <v>162</v>
      </c>
      <c r="BY15" s="132" t="s">
        <v>202</v>
      </c>
      <c r="BZ15" s="132" t="s">
        <v>203</v>
      </c>
      <c r="CA15" s="132" t="s">
        <v>285</v>
      </c>
      <c r="CB15" s="132" t="s">
        <v>303</v>
      </c>
      <c r="CC15" s="132" t="s">
        <v>204</v>
      </c>
      <c r="CD15" s="132" t="s">
        <v>214</v>
      </c>
      <c r="CE15" s="132" t="s">
        <v>217</v>
      </c>
      <c r="CF15" s="132" t="s">
        <v>97</v>
      </c>
      <c r="CG15" s="132" t="s">
        <v>97</v>
      </c>
      <c r="CH15" s="132" t="s">
        <v>279</v>
      </c>
      <c r="CI15" s="132" t="s">
        <v>205</v>
      </c>
      <c r="CJ15" s="140" t="s">
        <v>198</v>
      </c>
    </row>
    <row r="16" spans="1:88" ht="12.75" customHeight="1" thickBot="1" x14ac:dyDescent="0.3">
      <c r="A16" s="125">
        <f>Design!$D$14</f>
        <v>85</v>
      </c>
      <c r="B16" s="217">
        <f>Iout/10+0*Iout/10</f>
        <v>0.1</v>
      </c>
      <c r="C16" s="218">
        <f ca="1">FORECAST(B16, OFFSET(Design!$C$19:$C$21,MATCH(B16,Design!$B$19:$B$21,1)-1,0,2), OFFSET(Design!$B$19:$B$21,MATCH(B16,Design!$B$19:$B$21,1)-1,0,2))+(Y16-25)*Design!$B$22/1000</f>
        <v>0.27401353270354523</v>
      </c>
      <c r="D16" s="250">
        <f t="shared" ref="D16:D25" ca="1" si="53">IF($C$2&lt;=Vin_mode,((E16-1)*(Vout_typ+C16)-C16-(L16-F16/2)*(AA16*E16/1000+LoDCR/1000))/((L16-F16/2)*Z16/1000-$C$2-C16),IF(K16="DCM",(Vout_typ)/($C$2)*2*B16/L16,(Vout_typ+2*C16+(L16-F16/2)*LoDCR/1000)/($C$2+C16-(L16-F16/2)*Z16/1000)))</f>
        <v>0.82126356005084611</v>
      </c>
      <c r="E16" s="218">
        <f>MAX(0,(1-1.844*Efficiency!$C$2/RNG))</f>
        <v>0.60485714285714287</v>
      </c>
      <c r="F16" s="126">
        <f>IF($C$2&lt;=Vin_mode,MAX(Efficiency!$C$2*E16/(Fsw*Lo),(Efficiency!$C$2*E16/(Fsw*Lo)+(Efficiency!$C$2-Vout_typ)*(1.844*Vout_typ/RNG-E16)/(Fsw*Lo))),IF(K16="DCM",D16*($C$2-Vout_typ)/(Lo*IF($C$2&lt;=18,Fsw,1.5*Fsw-$C$2/36*Fsw)),D16*($C$2-(Vout_typ+1*C16)-(L16-F16/2)*(Z16+LoDCR)/1000)/(Lo*IF($C$2&lt;=18,Fsw,1.5*Fsw-$C$2/36*Fsw))))</f>
        <v>0.27493506493506492</v>
      </c>
      <c r="G16" s="126">
        <f t="shared" ref="G16:G25" ca="1" si="54">IF($C$2&lt;=Vin_mode,$C$2/(Lo*Fsw/E16+0.5*(Z16+AA16+LoDCR)/1000),0)</f>
        <v>0.27352054258748587</v>
      </c>
      <c r="H16" s="126">
        <f t="shared" ref="H16:H25" ca="1" si="55">(Vout_typ+2*C16)/(Lo*IF($C$2&lt;=18,Fsw,1.5*Fsw-$C$2/36*Fsw)/(1-I16)-0.5*LoDCR/1000)</f>
        <v>0.17047341393351362</v>
      </c>
      <c r="I16" s="218">
        <f t="shared" ref="I16:I25" ca="1" si="56">(E16*((Vout_typ+C16)-0.5*G16*AA16/1000+0.5*H16*(Z16+LoDCR)/1000)-(Vout_typ+2*C16+0.5*H16*LoDCR/1000))/(-$C$2-C16+0.5*G16*(Z16+LoDCR)/1000+0.5*H16*Z16/1000)</f>
        <v>0.82055784592791747</v>
      </c>
      <c r="J16" s="218">
        <f t="shared" ref="J16:J25" ca="1" si="57">0.5*G16*(D16-E16)+0.5*H16*(1-E16)</f>
        <v>6.3276476249410532E-2</v>
      </c>
      <c r="K16" s="218" t="str">
        <f t="shared" ref="K16:K25" ca="1" si="58">IF(B16&gt;=J16,"CCM","DCM")</f>
        <v>CCM</v>
      </c>
      <c r="L16" s="126">
        <f t="shared" ref="L16:L25" ca="1" si="59">IF($C$2&lt;=Vin_mode, (B16+F16*0.5*(1-D16))/(1-E16),IF(K16="DCM", SQRT(2*B16*Vout_typ*($C$2-Vout_typ)/(Lo*IF($C$2&lt;=18,Fsw,1.5*Fsw-$C$2/36*Fsw)*$C$2)), B16+0.5*F16))</f>
        <v>0.31525423048911438</v>
      </c>
      <c r="M16" s="126">
        <f>$C$2*Constants!$C$20/1000</f>
        <v>2.7E-2</v>
      </c>
      <c r="N16" s="126">
        <f>0.5*$C$2*IF($C$2&lt;=18,Fsw,1.5*Fsw-$C$2/36*Fsw)*($C$2/Constants!$C$25+$C$2/Constants!$C$26)*10^-3*IF($C$2&lt;=Vin_mode,$B16/(1-Efficiency!E16),$B16)</f>
        <v>2.2270426608821405E-3</v>
      </c>
      <c r="O16" s="218">
        <f ca="1">0.5*(Vout_typ+$C16)*IF($C$2&lt;=18,Fsw,1.5*Fsw-$C$2/36*Fsw)*((Vout_typ+$C16)/Constants!$C$25+(Vout_typ+$C16)/Constants!$C$26)*10^-3*IF($C$2&lt;=Vin_mode,$B16/(1-E16),0)</f>
        <v>9.3026584732029093E-3</v>
      </c>
      <c r="P16" s="218">
        <f t="shared" ref="P16:P25" ca="1" si="60">$Z16*($B16^2+F16^2/12)*$D16/(1-$E16)^2/1000</f>
        <v>1.3268342441107471E-2</v>
      </c>
      <c r="Q16" s="126">
        <f t="shared" ref="Q16:Q25" ca="1" si="61">$B16^2*E16/(1-E16)^2*AA16/1000</f>
        <v>1.1990936515005669E-3</v>
      </c>
      <c r="R16" s="126">
        <f>IF($C$2&lt;=Vin_mode,Fsw*$C$2*Qg_boost/1000,0)+Constants!$D$24*$C$2*IF(Efficiency!$C$2&lt;=18,Fsw,1.5*Fsw-Efficiency!$C$2/36*Fsw)/1000</f>
        <v>2.8080000000000001E-2</v>
      </c>
      <c r="S16" s="126">
        <f ca="1">SUM(M16,N16,P16,R16)</f>
        <v>7.0575385101989602E-2</v>
      </c>
      <c r="T16" s="126">
        <f t="shared" ref="T16:T25" ca="1" si="62">B16*C16*(1-D16)/(1-E16)</f>
        <v>1.2394556158107703E-2</v>
      </c>
      <c r="U16" s="126">
        <f t="shared" ref="U16:U25" ca="1" si="63">C16*B16/(1-E16)*(1-E16)</f>
        <v>2.7401353270354527E-2</v>
      </c>
      <c r="V16" s="126">
        <f>IF($C$2&gt;(5+Design!$B$26),0,Vout_typ*Constants!$D$24*Fsw/1000)</f>
        <v>0</v>
      </c>
      <c r="W16" s="126">
        <f ca="1">(B16/(1-E16))^2*LoDCR/1000*(1+(Y16-25)*Constants!C$31/100)</f>
        <v>3.1922103368940973E-3</v>
      </c>
      <c r="X16" s="126">
        <f>IF(Snubber=1,0.5*Snubber!$B$16/1000000000000*$C$2^2*Fsw*1000000,0)</f>
        <v>0</v>
      </c>
      <c r="Y16" s="127">
        <f ca="1">S16*Design!$C$13+A16</f>
        <v>87.611289248773616</v>
      </c>
      <c r="Z16" s="127">
        <f ca="1">Constants!$D$21+Constants!$D$21*Constants!$C$22/100*(Y16-25)</f>
        <v>154.76707181287313</v>
      </c>
      <c r="AA16" s="127">
        <f ca="1">Rds_boost_max+Constants!$C$22*Rds_boost_max/100*(Y16-25)</f>
        <v>30.953414362574627</v>
      </c>
      <c r="AB16" s="126">
        <f t="shared" ref="AB16:AB25" ca="1" si="64">SUM(S16:X16,O16,Q16)</f>
        <v>0.1240652569920494</v>
      </c>
      <c r="AC16" s="126">
        <f t="shared" ref="AC16:AC25" si="65">Vout_typ*B16</f>
        <v>1.198881118881119</v>
      </c>
      <c r="AD16" s="219">
        <f t="shared" ref="AD16:AD25" ca="1" si="66">100*AC16/(AC16+AB16)</f>
        <v>90.622049445491385</v>
      </c>
      <c r="AE16" s="270">
        <f>Iout/10+0*Iout/10</f>
        <v>0.1</v>
      </c>
      <c r="AF16" s="220">
        <f ca="1">FORECAST(AE16, OFFSET(Design!$C$19:$C$21,MATCH(AE16,Design!$B$19:$B$21,1)-1,0,2), OFFSET(Design!$B$19:$B$21,MATCH(AE16,Design!$B$19:$B$21,1)-1,0,2))+(BB16-25)*Design!$B$22/1000</f>
        <v>0.27263162129586216</v>
      </c>
      <c r="AG16" s="258">
        <f t="shared" ref="AG16:AG25" ca="1" si="67">IF($AF$2&lt;=Vin_mode,((AH16-1)*(Vout_typ+AF16)-AF16-(AO16-AI16/2)*(BD16*AH16/1000+LoDCR/1000))/((AO16-AI16/2)*BC16/1000-$AF$2-AF16),IF(AN16="DCM",(Vout_typ)/($AF$2)*2*AE16/AO16,(Vout_typ+2*AF16+(AO16-AI16/2)*LoDCR/1000)/($AF$2+AF16-(AO16-AI16/2)*BC16/1000)))</f>
        <v>0.81253721444700022</v>
      </c>
      <c r="AH16" s="220">
        <f>MAX(0,(1-1.844*Efficiency!$AF$2/RNG))</f>
        <v>0.20971428571428574</v>
      </c>
      <c r="AI16" s="128">
        <f>IF($AF$2&lt;=Vin_mode,MAX(Efficiency!$AF$2*AH16/(Fsw*Lo),(Efficiency!$AF$2*AH16/(Fsw*Lo)+(Efficiency!$AF$2-Vout_typ)*(1.844*Vout_typ/RNG-AH16)/(Fsw*Lo))),IF(AN16="DCM",AG16*($AF$2-Vout_typ)/(Lo*IF($AF$2&lt;=18,Fsw,1.5*Fsw-$AF$2/36*Fsw)),AG16*($AF$2-(Vout_typ+1*AF16)-(AO16-AI16/2)*(BC16+LoDCR)/1000)/(Lo*IF($AF$2&lt;=18,Fsw,1.5*Fsw-$AF$2/36*Fsw))))</f>
        <v>0.19114084000339554</v>
      </c>
      <c r="AJ16" s="128">
        <f t="shared" ref="AJ16:AJ25" ca="1" si="68">IF($AF$2&lt;=Vin_mode,$AF$2/(Lo*Fsw/AH16+0.5*(BC16+BD16+LoDCR)/1000),0)</f>
        <v>0.19030588005116786</v>
      </c>
      <c r="AK16" s="128">
        <f t="shared" ref="AK16:AK25" ca="1" si="69">(Vout_typ+2*AF16)/(Lo*IF($AF$2&lt;=18,Fsw,1.5*Fsw-$AF$2/36*Fsw)/(1-AL16)-0.5*LoDCR/1000)</f>
        <v>0.1766913245682574</v>
      </c>
      <c r="AL16" s="220">
        <f t="shared" ref="AL16:AL25" ca="1" si="70">(AH16*((Vout_typ+AF16)-0.5*AJ16*BD16/1000+0.5*AK16*(BC16+LoDCR)/1000)-(Vout_typ+2*AF16+0.5*AK16*LoDCR/1000))/(-$AF$2-AF16+0.5*AJ16*(BC16+LoDCR)/1000+0.5*AK16*BC16/1000)</f>
        <v>0.81397365140736044</v>
      </c>
      <c r="AM16" s="220">
        <f t="shared" ref="AM16:AM25" ca="1" si="71">0.5*AJ16*(AG16-AH16)+0.5*AK16*(1-AH16)</f>
        <v>0.12717868880600797</v>
      </c>
      <c r="AN16" s="220" t="str">
        <f t="shared" ref="AN16" ca="1" si="72">IF(AE16&gt;=AM16,"CCM","DCM")</f>
        <v>DCM</v>
      </c>
      <c r="AO16" s="128">
        <f t="shared" ref="AO16:AO25" ca="1" si="73">IF($AF$2&lt;=Vin_mode, (AE16+AI16*0.5*(1-AG16))/(1-AH16),IF(AN16="DCM", SQRT(2*AE16*Vout_typ*($AF$2-Vout_typ)/(Lo*IF($AF$2&lt;=18,Fsw,1.5*Fsw-$AF$2/36*Fsw)*$AF$2)), AE16+0.5*AI16))</f>
        <v>0.14920666667569032</v>
      </c>
      <c r="AP16" s="128">
        <f>$AF$2*Constants!$C$20/1000</f>
        <v>5.3999999999999999E-2</v>
      </c>
      <c r="AQ16" s="128">
        <f>0.5*$AF$2*IF($AF$2&lt;=18,Fsw,1.5*Fsw-$AF$2/36*Fsw)*($AF$2/Constants!$C$25+$AF$2/Constants!$C$26)*10^-3*IF($AF$2&lt;=Vin_mode,$AE16/(1-Efficiency!AH16),$AE16)</f>
        <v>4.454085321764281E-3</v>
      </c>
      <c r="AR16" s="220">
        <f ca="1">0.5*(Vout_typ+$AF16)*IF($AF$2&lt;=18,Fsw,1.5*Fsw-$AF$2/36*Fsw)*((Vout_typ+$AF16)/Constants!$C$25+(Vout_typ+$AF16)/Constants!$C$26)*10^-3*IF($AF$2&lt;=Vin_mode,$AE16/(1-AH16),0)</f>
        <v>4.6502809687014937E-3</v>
      </c>
      <c r="AS16" s="220">
        <f t="shared" ref="AS16:AS25" ca="1" si="74">$BC16*($AE16^2+AI16^2/12)*$AG16/(1-$AH16)^2/1000</f>
        <v>2.6474959857328857E-3</v>
      </c>
      <c r="AT16" s="128">
        <f ca="1">$AE16^2*AH16/(1-AH16)^2*BD16/1000</f>
        <v>1.047659960761879E-4</v>
      </c>
      <c r="AU16" s="128">
        <f>IF($AF$2&lt;=Vin_mode,Fsw*$AF$2*Qg_boost/1000,0)+Constants!$D$24*$AF$2*IF(Efficiency!$AF$2&lt;=18,Fsw,1.5*Fsw-Efficiency!$AF$2/36*Fsw)/1000</f>
        <v>5.6160000000000002E-2</v>
      </c>
      <c r="AV16" s="128">
        <f ca="1">SUM(AP16,AQ16,AS16,AU16)</f>
        <v>0.11726158130749717</v>
      </c>
      <c r="AW16" s="128">
        <f ca="1">AE16*AF16*(1-AG16)/(1-AH16)</f>
        <v>6.4670640293866604E-3</v>
      </c>
      <c r="AX16" s="128">
        <f ca="1">AF16*AE16/(1-AH16)*(1-AH16)</f>
        <v>2.7263162129586217E-2</v>
      </c>
      <c r="AY16" s="128">
        <f>IF($AF$2&gt;(5+Design!$B$26),0,Vout_typ*Constants!$D$24*Fsw/1000)</f>
        <v>0</v>
      </c>
      <c r="AZ16" s="128">
        <f ca="1">(AE16/(1-AH16))^2*LoDCR/1000*(1+(BB4-25)*Constants!C$31/100)</f>
        <v>6.5131303337638384E-4</v>
      </c>
      <c r="BA16" s="128">
        <f>IF(Snubber=1,0.5*Snubber!$B$16/1000000000000*$AF$2^2*Fsw*1000000,0)</f>
        <v>0</v>
      </c>
      <c r="BB16" s="129">
        <f ca="1">AV16*Design!$C$13+A16</f>
        <v>89.338678508377399</v>
      </c>
      <c r="BC16" s="129">
        <f ca="1">Constants!$D$21+Constants!$D$21*Constants!$C$22/100*(BB16-25)</f>
        <v>156.00215513348985</v>
      </c>
      <c r="BD16" s="129">
        <f ca="1">Rds_boost_max+Constants!$C$22*Rds_boost_max/100*(BB16-25)</f>
        <v>31.20043102669797</v>
      </c>
      <c r="BE16" s="128">
        <f ca="1">SUM(AV16:BA16,AR16,AT16)</f>
        <v>0.15639816746462409</v>
      </c>
      <c r="BF16" s="128">
        <f t="shared" ref="BF16:BF25" si="75">Vout_typ*AE16</f>
        <v>1.198881118881119</v>
      </c>
      <c r="BG16" s="285">
        <f t="shared" ref="BG16" ca="1" si="76">100*BF16/(BF16+BE16)</f>
        <v>88.460078373489921</v>
      </c>
      <c r="BH16" s="284">
        <f>Iout/10+0*Iout/10</f>
        <v>0.1</v>
      </c>
      <c r="BI16" s="272">
        <f ca="1">FORECAST(BH16, OFFSET(Design!$C$19:$C$21,MATCH(BH16,Design!$B$19:$B$21,1)-1,0,2), OFFSET(Design!$B$19:$B$21,MATCH(BH16,Design!$B$19:$B$21,1)-1,0,2))+(CE16-25)*Design!$B$22/1000</f>
        <v>0.27184663715186158</v>
      </c>
      <c r="BJ16" s="272">
        <f t="shared" ref="BJ16:BJ25" ca="1" si="77">IF($BI$2&lt;=Vin_mode,((BK16-1)*(Vout_typ+BI16)-BI16-(BR16-BL16/2)*(CG16*BK16/1000+LoDCR/1000))/((BR16-BL16/2)*CF16/1000-$BI$2-BI16),IF(BQ16="DCM",(Vout_typ)/($BI$2)*2*BH16/BR16,(Vout_typ+2*BI16+(BR16-BL16/2)*LoDCR/1000)/($BI$2+BI16-(BR16-BL16/2)*CF16/1000)))</f>
        <v>0.43193137343726751</v>
      </c>
      <c r="BK16" s="272">
        <f>MAX(0,(1-1.844*Efficiency!$BI$2/RNG))</f>
        <v>0</v>
      </c>
      <c r="BL16" s="130">
        <f ca="1">IF($BI$2&lt;=Vin_mode,MAX(Efficiency!$BI$2*BK16/(Fsw*Lo),(Efficiency!$BI$2*BK16/(Fsw*Lo)+(Efficiency!$BI$2-Vout_typ)*(1.844*Vout_typ/RNG-BK16)/(Fsw*Lo))),IF(BQ16="DCM",BJ16*($BI$2-Vout_typ)/(Lo*IF($BI$2&lt;=18,Fsw,1.5*Fsw-$BI$2/36*Fsw)),BJ16*($BI$2-(Vout_typ+1*BI16)-(BR16-BL16/2)*(CF16+LoDCR)/1000)/(Lo*IF($BI$2&lt;=18,Fsw,1.5*Fsw-$BI$2/36*Fsw))))</f>
        <v>0.27756287054134104</v>
      </c>
      <c r="BM16" s="130">
        <f t="shared" ref="BM16:BM25" si="78">IF($BI$2&lt;=Vin_mode,$AF$2/(Lo*Fsw/BK16+0.5*(CF16+CG16+LoDCR)/1000),0)</f>
        <v>0</v>
      </c>
      <c r="BN16" s="130">
        <f t="shared" ref="BN16:BN25" ca="1" si="79">(Vout_typ+2*BI16)/(Lo*IF($BI$2&lt;=18,Fsw,1.5*Fsw-$BI$2/36*Fsw)/(1-BO16)-0.5*LoDCR/1000)</f>
        <v>0.38272682943465475</v>
      </c>
      <c r="BO16" s="221">
        <f t="shared" ref="BO16:BO25" ca="1" si="80">(BK16*((Vout_typ+BI16)-0.5*BM16*CG16/1000+0.5*BN16*(CF16+LoDCR)/1000)-(Vout_typ+2*BI16+0.5*BN16*LoDCR/1000))/(-$BI$2-BI16+0.5*BM16*(CF16+LoDCR)/1000+0.5*BN16*CF16/1000)</f>
        <v>0.61951616346612493</v>
      </c>
      <c r="BP16" s="221">
        <f t="shared" ref="BP16:BP25" ca="1" si="81">0.5*BM16*(BJ16-BK16)+0.5*BN16*(1-BK16)</f>
        <v>0.19136341471732737</v>
      </c>
      <c r="BQ16" s="221" t="str">
        <f t="shared" ref="BQ16:BQ25" ca="1" si="82">IF(BH16&gt;=BP16,"CCM","DCM")</f>
        <v>DCM</v>
      </c>
      <c r="BR16" s="130">
        <f t="shared" ref="BR16:BR25" ca="1" si="83">IF($BI$2&lt;=Vin_mode, (BH16+BL16*0.5*(1-BJ16))/(1-BK16),IF(BQ16="DCM", SQRT(2*BH16*Vout_typ*($BI$2-Vout_typ)/(Lo*IF($BI$2&lt;=18,Fsw,1.5*Fsw-$BI$2/36*Fsw)*$BI$2)), BH16+0.5*BL16))</f>
        <v>0.27756287054134104</v>
      </c>
      <c r="BS16" s="130">
        <f>$BI$2*Constants!$C$20/1000</f>
        <v>0.09</v>
      </c>
      <c r="BT16" s="130">
        <f>0.5*$BI$2*IF($BI$2&lt;=18,Fsw,1.5*Fsw-$BI$2/36*Fsw)*($BI$2/Constants!$C$25+$BI$2/Constants!$C$26)*10^-3*IF($BI$2&lt;=Vin_mode,$BH16/(1-Efficiency!BK16),$BH16)</f>
        <v>9.2345679012345704E-3</v>
      </c>
      <c r="BU16" s="221">
        <f ca="1">0.5*(Vout_typ+$BI16)*IF($BI$2&lt;=18,Fsw,1.5*Fsw-$BI$2/36*Fsw)*((Vout_typ+$BI16)/Constants!$C$25+(Vout_typ+$BI16)/Constants!$C$26)*10^-3*IF($BI$2&lt;=Vin_mode,$BH16/(1-BK16),0)</f>
        <v>0</v>
      </c>
      <c r="BV16" s="221">
        <f t="shared" ref="BV16:BV25" ca="1" si="84">$CF16*(BH16^2+BL25^2/12)*BJ16/(1-BK16)^2/1000</f>
        <v>1.4800813342108787E-3</v>
      </c>
      <c r="BW16" s="130">
        <f ca="1">$BH16^2*BK16/(1-BK16)^2*CG16/1000</f>
        <v>0</v>
      </c>
      <c r="BX16" s="130">
        <f>IF($BI$2&lt;=Vin_mode,Fsw*$BI$2*Qg_boost/1000,0)+Constants!$D$24*$BI$2*IF(Efficiency!$BI$2&lt;=18,Fsw,1.5*Fsw-Efficiency!$BI$2/36*Fsw)/1000</f>
        <v>4.3066666666666677E-2</v>
      </c>
      <c r="BY16" s="130">
        <f ca="1">SUM(BS16,BT16,BV16,BX16)</f>
        <v>0.14378131590211213</v>
      </c>
      <c r="BZ16" s="130">
        <f ca="1">BH16*BI16*(1-BJ16)/(1-BK16)</f>
        <v>1.544275458025555E-2</v>
      </c>
      <c r="CA16" s="130">
        <f ca="1">BI16*BH16/(1-BK16)*(1-BK16)</f>
        <v>2.7184663715186158E-2</v>
      </c>
      <c r="CB16" s="130">
        <f>IF($BI$2&gt;(5+Design!$B$26),0,Vout_typ*Constants!$D$24*Fsw/1000)</f>
        <v>0</v>
      </c>
      <c r="CC16" s="130">
        <f ca="1">(BH16/(1-BK16))^2*LoDCR/1000*(1+(CE16-25)*Constants!C$31/100)</f>
        <v>5.0268289645813056E-4</v>
      </c>
      <c r="CD16" s="130">
        <f>IF(Snubber,0.5*Snubber!$B$16/1000000000000*$BI$2^2*IF($BI$2&lt;=18,Fsw,1.5*Fsw-$BI$2/36*Fsw)*1000000,0)</f>
        <v>0</v>
      </c>
      <c r="CE16" s="131">
        <f ca="1">BY16*Design!$C$13+A16</f>
        <v>90.319908688378149</v>
      </c>
      <c r="CF16" s="131">
        <f ca="1">Constants!$D$21+Constants!$D$21*Constants!$C$22/100*(CE16-25)</f>
        <v>156.70373471219037</v>
      </c>
      <c r="CG16" s="131">
        <f ca="1">Rds_boost_max+Constants!$C$22*Rds_boost_max/100*(CE16-25)</f>
        <v>31.340746942438077</v>
      </c>
      <c r="CH16" s="130">
        <f ca="1">SUM(BY16:CD16,BU16,BW16)</f>
        <v>0.18691141709401196</v>
      </c>
      <c r="CI16" s="130">
        <f t="shared" ref="CI16:CI25" si="85">Vout_typ*BH16</f>
        <v>1.198881118881119</v>
      </c>
      <c r="CJ16" s="286">
        <f t="shared" ref="CJ16" ca="1" si="86">100*CI16/(CI16+CH16)</f>
        <v>86.512308859962985</v>
      </c>
    </row>
    <row r="17" spans="1:88" ht="12.75" customHeight="1" thickBot="1" x14ac:dyDescent="0.3">
      <c r="A17" s="95">
        <f>Design!$D$14</f>
        <v>85</v>
      </c>
      <c r="B17" s="217">
        <f t="shared" ref="B17:B25" si="87">B16+1*Iout/10</f>
        <v>0.2</v>
      </c>
      <c r="C17" s="218">
        <f ca="1">FORECAST(B17, OFFSET(Design!$C$19:$C$21,MATCH(B17,Design!$B$19:$B$21,1)-1,0,2), OFFSET(Design!$B$19:$B$21,MATCH(B17,Design!$B$19:$B$21,1)-1,0,2))+(Y17-25)*Design!$B$22/1000</f>
        <v>0.28141346699305586</v>
      </c>
      <c r="D17" s="250">
        <f t="shared" ca="1" si="53"/>
        <v>0.82947513285571373</v>
      </c>
      <c r="E17" s="218">
        <f>MAX(0,(1-1.844*Efficiency!$C$2/RNG))</f>
        <v>0.60485714285714287</v>
      </c>
      <c r="F17" s="126">
        <f>IF($C$2&lt;=Vin_mode,MAX(Efficiency!$C$2*E17/(Fsw*Lo),(Efficiency!$C$2*E17/(Fsw*Lo)+(Efficiency!$C$2-Vout_typ)*(1.844*Vout_typ/RNG-E17)/(Fsw*Lo))),IF(K17="DCM",D17*($C$2-Vout_typ)/(Lo*IF($C$2&lt;=18,Fsw,1.5*Fsw-$C$2/36*Fsw)),D17*($C$2-(Vout_typ+1*C17)-(L17-F17/2)*(Z17+LoDCR)/1000)/(Lo*IF($C$2&lt;=18,Fsw,1.5*Fsw-$C$2/36*Fsw))))</f>
        <v>0.27493506493506492</v>
      </c>
      <c r="G17" s="126">
        <f t="shared" ca="1" si="54"/>
        <v>0.27351515880023741</v>
      </c>
      <c r="H17" s="126">
        <f t="shared" ca="1" si="55"/>
        <v>0.17001220198578088</v>
      </c>
      <c r="I17" s="218">
        <f t="shared" ca="1" si="56"/>
        <v>0.82125414509763239</v>
      </c>
      <c r="J17" s="218">
        <f t="shared" ca="1" si="57"/>
        <v>6.4307766222829604E-2</v>
      </c>
      <c r="K17" s="218" t="str">
        <f t="shared" ca="1" si="58"/>
        <v>CCM</v>
      </c>
      <c r="L17" s="126">
        <f t="shared" ca="1" si="59"/>
        <v>0.5654705093907274</v>
      </c>
      <c r="M17" s="126">
        <f>$C$2*Constants!$C$20/1000</f>
        <v>2.7E-2</v>
      </c>
      <c r="N17" s="126">
        <f>0.5*$C$2*IF($C$2&lt;=18,Fsw,1.5*Fsw-$C$2/36*Fsw)*($C$2/Constants!$C$25+$C$2/Constants!$C$26)*10^-3*IF($C$2&lt;=Vin_mode,$B17/(1-Efficiency!E17),$B17)</f>
        <v>4.454085321764281E-3</v>
      </c>
      <c r="O17" s="218">
        <f ca="1">0.5*(Vout_typ+$C17)*IF($C$2&lt;=18,Fsw,1.5*Fsw-$C$2/36*Fsw)*((Vout_typ+$C17)/Constants!$C$25+(Vout_typ+$C17)/Constants!$C$26)*10^-3*IF($C$2&lt;=Vin_mode,$B17/(1-E17),0)</f>
        <v>1.8627778274284242E-2</v>
      </c>
      <c r="P17" s="218">
        <f t="shared" ca="1" si="60"/>
        <v>3.8243796929467007E-2</v>
      </c>
      <c r="Q17" s="126">
        <f t="shared" ca="1" si="61"/>
        <v>4.8186769786682064E-3</v>
      </c>
      <c r="R17" s="126">
        <f>IF($C$2&lt;=Vin_mode,Fsw*$C$2*Qg_boost/1000,0)+Constants!$D$24*$C$2*IF(Efficiency!$C$2&lt;=18,Fsw,1.5*Fsw-Efficiency!$C$2/36*Fsw)/1000</f>
        <v>2.8080000000000001E-2</v>
      </c>
      <c r="S17" s="126">
        <f t="shared" ref="S17:S25" ca="1" si="88">SUM(M17,N17,P17,R17)</f>
        <v>9.7777882251231296E-2</v>
      </c>
      <c r="T17" s="126">
        <f t="shared" ca="1" si="62"/>
        <v>2.4288934092641132E-2</v>
      </c>
      <c r="U17" s="126">
        <f t="shared" ca="1" si="63"/>
        <v>5.6282693398611174E-2</v>
      </c>
      <c r="V17" s="126">
        <f>IF($C$2&gt;(5+Design!$B$26),0,Vout_typ*Constants!$D$24*Fsw/1000)</f>
        <v>0</v>
      </c>
      <c r="W17" s="126">
        <f ca="1">(B17/(1-E17))^2*LoDCR/1000*(1+(Y17-25)*Constants!C$31/100)</f>
        <v>1.2809374908529183E-2</v>
      </c>
      <c r="X17" s="126">
        <f>IF(Snubber=1,0.5*Snubber!$B$16/1000000000000*$C$2^2*Fsw*1000000,0)</f>
        <v>0</v>
      </c>
      <c r="Y17" s="127">
        <f ca="1">S17*Design!$C$13+A17</f>
        <v>88.617781643295558</v>
      </c>
      <c r="Z17" s="127">
        <f ca="1">Constants!$D$21+Constants!$D$21*Constants!$C$22/100*(Y17-25)</f>
        <v>155.48671387495631</v>
      </c>
      <c r="AA17" s="127">
        <f ca="1">Rds_boost_max+Constants!$C$22*Rds_boost_max/100*(Y17-25)</f>
        <v>31.097342774991265</v>
      </c>
      <c r="AB17" s="126">
        <f t="shared" ca="1" si="64"/>
        <v>0.21460533990396521</v>
      </c>
      <c r="AC17" s="126">
        <f t="shared" si="65"/>
        <v>2.3977622377622381</v>
      </c>
      <c r="AD17" s="219">
        <f t="shared" ca="1" si="66"/>
        <v>91.785025134338639</v>
      </c>
      <c r="AE17" s="270">
        <f t="shared" ref="AE17:AE25" si="89">AE16+Iout/10</f>
        <v>0.2</v>
      </c>
      <c r="AF17" s="220">
        <f ca="1">FORECAST(AE17, OFFSET(Design!$C$19:$C$21,MATCH(AE17,Design!$B$19:$B$21,1)-1,0,2), OFFSET(Design!$B$19:$B$21,MATCH(AE17,Design!$B$19:$B$21,1)-1,0,2))+(BB17-25)*Design!$B$22/1000</f>
        <v>0.28052344674822755</v>
      </c>
      <c r="AG17" s="258">
        <f t="shared" ca="1" si="67"/>
        <v>0.81495612084896152</v>
      </c>
      <c r="AH17" s="220">
        <f>MAX(0,(1-1.844*Efficiency!$AF$2/RNG))</f>
        <v>0.20971428571428574</v>
      </c>
      <c r="AI17" s="128">
        <f>IF($AF$2&lt;=Vin_mode,MAX(Efficiency!$AF$2*AH17/(Fsw*Lo),(Efficiency!$AF$2*AH17/(Fsw*Lo)+(Efficiency!$AF$2-Vout_typ)*(1.844*Vout_typ/RNG-AH17)/(Fsw*Lo))),IF(AN17="DCM",AG17*($AF$2-Vout_typ)/(Lo*IF($AF$2&lt;=18,Fsw,1.5*Fsw-$AF$2/36*Fsw)),AG17*($AF$2-(Vout_typ+1*AF17)-(AO17-AI17/2)*(BC17+LoDCR)/1000)/(Lo*IF($AF$2&lt;=18,Fsw,1.5*Fsw-$AF$2/36*Fsw))))</f>
        <v>0.19114084000339554</v>
      </c>
      <c r="AJ17" s="128">
        <f t="shared" ca="1" si="68"/>
        <v>0.19030537299796854</v>
      </c>
      <c r="AK17" s="128">
        <f t="shared" ca="1" si="69"/>
        <v>0.17631431886011559</v>
      </c>
      <c r="AL17" s="220">
        <f t="shared" ca="1" si="70"/>
        <v>0.81460385975600058</v>
      </c>
      <c r="AM17" s="220">
        <f t="shared" ca="1" si="71"/>
        <v>0.12725973030422255</v>
      </c>
      <c r="AN17" s="220" t="str">
        <f t="shared" ref="AN17:AN25" ca="1" si="90">IF(AE17&gt;=AM17,"CCM","DCM")</f>
        <v>CCM</v>
      </c>
      <c r="AO17" s="128">
        <f t="shared" ca="1" si="73"/>
        <v>0.27545065957058157</v>
      </c>
      <c r="AP17" s="128">
        <f>$AF$2*Constants!$C$20/1000</f>
        <v>5.3999999999999999E-2</v>
      </c>
      <c r="AQ17" s="128">
        <f>0.5*$AF$2*IF($AF$2&lt;=18,Fsw,1.5*Fsw-$AF$2/36*Fsw)*($AF$2/Constants!$C$25+$AF$2/Constants!$C$26)*10^-3*IF($AF$2&lt;=Vin_mode,$AE17/(1-Efficiency!AH17),$AE17)</f>
        <v>8.908170643528562E-3</v>
      </c>
      <c r="AR17" s="220">
        <f ca="1">0.5*(Vout_typ+$AF17)*IF($AF$2&lt;=18,Fsw,1.5*Fsw-$AF$2/36*Fsw)*((Vout_typ+$AF17)/Constants!$C$25+(Vout_typ+$AF17)/Constants!$C$26)*10^-3*IF($AF$2&lt;=Vin_mode,$AE17/(1-AH17),0)</f>
        <v>9.3125380210082962E-3</v>
      </c>
      <c r="AS17" s="220">
        <f t="shared" ca="1" si="74"/>
        <v>8.7779631221728133E-3</v>
      </c>
      <c r="AT17" s="128">
        <f t="shared" ref="AT17:AT25" ca="1" si="91">$AE17^2*AH17/(1-AH17)^2*BD17/1000</f>
        <v>4.1981617854787103E-4</v>
      </c>
      <c r="AU17" s="128">
        <f>IF($AF$2&lt;=Vin_mode,Fsw*$AF$2*Qg_boost/1000,0)+Constants!$D$24*$AF$2*IF(Efficiency!$AF$2&lt;=18,Fsw,1.5*Fsw-Efficiency!$AF$2/36*Fsw)/1000</f>
        <v>5.6160000000000002E-2</v>
      </c>
      <c r="AV17" s="128">
        <f t="shared" ref="AV17:AV25" ca="1" si="92">SUM(AP17,AQ17,AS17,AU17)</f>
        <v>0.12784613376570136</v>
      </c>
      <c r="AW17" s="128">
        <f t="shared" ref="AW17:AW25" ca="1" si="93">AE17*AF17*(1-AG17)/(1-AH17)</f>
        <v>1.3136805041713037E-2</v>
      </c>
      <c r="AX17" s="128">
        <f t="shared" ref="AX17:AX25" ca="1" si="94">AF17*AE17/(1-AH17)*(1-AH17)</f>
        <v>5.610468934964552E-2</v>
      </c>
      <c r="AY17" s="128">
        <f>IF($AF$2&gt;(5+Design!$B$26),0,Vout_typ*Constants!$D$24*Fsw/1000)</f>
        <v>0</v>
      </c>
      <c r="AZ17" s="128">
        <f ca="1">(AE17/(1-AH17))^2*LoDCR/1000*(1+(BB5-25)*Constants!C$31/100)</f>
        <v>2.6085737531284453E-3</v>
      </c>
      <c r="BA17" s="128">
        <f>IF(Snubber=1,0.5*Snubber!$B$16/1000000000000*$AF$2^2*Fsw*1000000,0)</f>
        <v>0</v>
      </c>
      <c r="BB17" s="129">
        <f ca="1">AV17*Design!$C$13+A17</f>
        <v>89.730306949330952</v>
      </c>
      <c r="BC17" s="129">
        <f ca="1">Constants!$D$21+Constants!$D$21*Constants!$C$22/100*(BB17-25)</f>
        <v>156.28216946877163</v>
      </c>
      <c r="BD17" s="129">
        <f ca="1">Rds_boost_max+Constants!$C$22*Rds_boost_max/100*(BB17-25)</f>
        <v>31.256433893754327</v>
      </c>
      <c r="BE17" s="128">
        <f t="shared" ref="BE17:BE25" ca="1" si="95">SUM(AV17:BA17,AR17,AT17)</f>
        <v>0.20942855610974453</v>
      </c>
      <c r="BF17" s="128">
        <f t="shared" si="75"/>
        <v>2.3977622377622381</v>
      </c>
      <c r="BG17" s="285">
        <f t="shared" ref="BG17:BG19" ca="1" si="96">100*BF17/(BF17+BE17)</f>
        <v>91.967271570535175</v>
      </c>
      <c r="BH17" s="284">
        <f t="shared" ref="BH17:BH25" si="97">BH16+Iout/10</f>
        <v>0.2</v>
      </c>
      <c r="BI17" s="272">
        <f ca="1">FORECAST(BH17, OFFSET(Design!$C$19:$C$21,MATCH(BH17,Design!$B$19:$B$21,1)-1,0,2), OFFSET(Design!$B$19:$B$21,MATCH(BH17,Design!$B$19:$B$21,1)-1,0,2))+(CE17-25)*Design!$B$22/1000</f>
        <v>0.27970695235211734</v>
      </c>
      <c r="BJ17" s="272">
        <f t="shared" ca="1" si="77"/>
        <v>0.62011241731646272</v>
      </c>
      <c r="BK17" s="272">
        <f>MAX(0,(1-1.844*Efficiency!$BI$2/RNG))</f>
        <v>0</v>
      </c>
      <c r="BL17" s="130">
        <f ca="1">IF($BI$2&lt;=Vin_mode,MAX(Efficiency!$BI$2*BK17/(Fsw*Lo),(Efficiency!$BI$2*BK17/(Fsw*Lo)+(Efficiency!$BI$2-Vout_typ)*(1.844*Vout_typ/RNG-BK17)/(Fsw*Lo))),IF(BQ17="DCM",BJ17*($BI$2-Vout_typ)/(Lo*IF($BI$2&lt;=18,Fsw,1.5*Fsw-$BI$2/36*Fsw)),BJ17*($BI$2-(Vout_typ+1*BI17)-(BR17-BL17/2)*(CF17+LoDCR)/1000)/(Lo*IF($BI$2&lt;=18,Fsw,1.5*Fsw-$BI$2/36*Fsw))))</f>
        <v>0.38261663088817732</v>
      </c>
      <c r="BM17" s="130">
        <f t="shared" si="78"/>
        <v>0</v>
      </c>
      <c r="BN17" s="130">
        <f t="shared" ca="1" si="79"/>
        <v>0.3826652827082887</v>
      </c>
      <c r="BO17" s="221">
        <f t="shared" ca="1" si="80"/>
        <v>0.62005362167687839</v>
      </c>
      <c r="BP17" s="221">
        <f t="shared" ca="1" si="81"/>
        <v>0.19133264135414435</v>
      </c>
      <c r="BQ17" s="221" t="str">
        <f t="shared" ca="1" si="82"/>
        <v>CCM</v>
      </c>
      <c r="BR17" s="130">
        <f t="shared" ca="1" si="83"/>
        <v>0.39130831544408867</v>
      </c>
      <c r="BS17" s="130">
        <f>$BI$2*Constants!$C$20/1000</f>
        <v>0.09</v>
      </c>
      <c r="BT17" s="130">
        <f>0.5*$BI$2*IF($BI$2&lt;=18,Fsw,1.5*Fsw-$BI$2/36*Fsw)*($BI$2/Constants!$C$25+$BI$2/Constants!$C$26)*10^-3*IF($BI$2&lt;=Vin_mode,$BH17/(1-Efficiency!BK17),$BH17)</f>
        <v>1.8469135802469141E-2</v>
      </c>
      <c r="BU17" s="221">
        <f ca="1">0.5*(Vout_typ+$BI17)*IF($BI$2&lt;=18,Fsw,1.5*Fsw-$BI$2/36*Fsw)*((Vout_typ+$BI17)/Constants!$C$25+(Vout_typ+$BI17)/Constants!$C$26)*10^-3*IF($BI$2&lt;=Vin_mode,$BH17/(1-BK17),0)</f>
        <v>0</v>
      </c>
      <c r="BV17" s="221">
        <f t="shared" ca="1" si="84"/>
        <v>3.89460143542432E-3</v>
      </c>
      <c r="BW17" s="130">
        <f t="shared" ref="BW17:BW25" ca="1" si="98">$BH17^2*BK17/(1-BK17)^2*CG17/1000</f>
        <v>0</v>
      </c>
      <c r="BX17" s="130">
        <f>IF($BI$2&lt;=Vin_mode,Fsw*$BI$2*Qg_boost/1000,0)+Constants!$D$24*$BI$2*IF(Efficiency!$BI$2&lt;=18,Fsw,1.5*Fsw-Efficiency!$BI$2/36*Fsw)/1000</f>
        <v>4.3066666666666677E-2</v>
      </c>
      <c r="BY17" s="130">
        <f t="shared" ref="BY17:BY25" ca="1" si="99">SUM(BS17,BT17,BV17,BX17)</f>
        <v>0.15543040390456014</v>
      </c>
      <c r="BZ17" s="130">
        <f t="shared" ref="BZ17:BZ25" ca="1" si="100">BH17*BI17*(1-BJ17)/(1-BK17)</f>
        <v>2.1251439597765043E-2</v>
      </c>
      <c r="CA17" s="130">
        <f t="shared" ref="CA17:CA25" ca="1" si="101">BI17*BH17/(1-BK17)*(1-BK17)</f>
        <v>5.5941390470423472E-2</v>
      </c>
      <c r="CB17" s="130">
        <f>IF($BI$2&gt;(5+Design!$B$26),0,Vout_typ*Constants!$D$24*Fsw/1000)</f>
        <v>0</v>
      </c>
      <c r="CC17" s="130">
        <f ca="1">(BH17/(1-BK17))^2*LoDCR/1000*(1+(CE17-25)*Constants!C$31/100)</f>
        <v>2.0134418160508197E-3</v>
      </c>
      <c r="CD17" s="130">
        <f>IF(Snubber,0.5*Snubber!$B$16/1000000000000*$BI$2^2*IF($BI$2&lt;=18,Fsw,1.5*Fsw-$BI$2/36*Fsw)*1000000,0)</f>
        <v>0</v>
      </c>
      <c r="CE17" s="131">
        <f ca="1">BY17*Design!$C$13+A17</f>
        <v>90.750924944468721</v>
      </c>
      <c r="CF17" s="131">
        <f ca="1">Constants!$D$21+Constants!$D$21*Constants!$C$22/100*(CE17-25)</f>
        <v>157.01191133529514</v>
      </c>
      <c r="CG17" s="131">
        <f ca="1">Rds_boost_max+Constants!$C$22*Rds_boost_max/100*(CE17-25)</f>
        <v>31.402382267059028</v>
      </c>
      <c r="CH17" s="130">
        <f t="shared" ref="CH17:CH25" ca="1" si="102">SUM(BY17:CD17,BU17,BW17)</f>
        <v>0.23463667578879946</v>
      </c>
      <c r="CI17" s="130">
        <f t="shared" si="85"/>
        <v>2.3977622377622381</v>
      </c>
      <c r="CJ17" s="286">
        <f t="shared" ref="CJ17:CJ19" ca="1" si="103">100*CI17/(CI17+CH17)</f>
        <v>91.086583626024947</v>
      </c>
    </row>
    <row r="18" spans="1:88" ht="12.75" customHeight="1" thickBot="1" x14ac:dyDescent="0.3">
      <c r="A18" s="95">
        <f>Design!$D$14</f>
        <v>85</v>
      </c>
      <c r="B18" s="217">
        <f t="shared" si="87"/>
        <v>0.30000000000000004</v>
      </c>
      <c r="C18" s="218">
        <f ca="1">FORECAST(B18, OFFSET(Design!$C$19:$C$21,MATCH(B18,Design!$B$19:$B$21,1)-1,0,2), OFFSET(Design!$B$19:$B$21,MATCH(B18,Design!$B$19:$B$21,1)-1,0,2))+(Y18-25)*Design!$B$22/1000</f>
        <v>0.28828827791704642</v>
      </c>
      <c r="D18" s="250">
        <f t="shared" ca="1" si="53"/>
        <v>0.83782709441342607</v>
      </c>
      <c r="E18" s="218">
        <f>MAX(0,(1-1.844*Efficiency!$C$2/RNG))</f>
        <v>0.60485714285714287</v>
      </c>
      <c r="F18" s="126">
        <f>IF($C$2&lt;=Vin_mode,MAX(Efficiency!$C$2*E18/(Fsw*Lo),(Efficiency!$C$2*E18/(Fsw*Lo)+(Efficiency!$C$2-Vout_typ)*(1.844*Vout_typ/RNG-E18)/(Fsw*Lo))),IF(K18="DCM",D18*($C$2-Vout_typ)/(Lo*IF($C$2&lt;=18,Fsw,1.5*Fsw-$C$2/36*Fsw)),D18*($C$2-(Vout_typ+1*C18)-(L18-F18/2)*(Z18+LoDCR)/1000)/(Lo*IF($C$2&lt;=18,Fsw,1.5*Fsw-$C$2/36*Fsw))))</f>
        <v>0.27493506493506492</v>
      </c>
      <c r="G18" s="126">
        <f t="shared" ca="1" si="54"/>
        <v>0.27350626433245878</v>
      </c>
      <c r="H18" s="126">
        <f t="shared" ca="1" si="55"/>
        <v>0.16957212403537134</v>
      </c>
      <c r="I18" s="218">
        <f t="shared" ca="1" si="56"/>
        <v>0.82191173828882191</v>
      </c>
      <c r="J18" s="218">
        <f t="shared" ca="1" si="57"/>
        <v>6.5361977367496243E-2</v>
      </c>
      <c r="K18" s="218" t="str">
        <f t="shared" ca="1" si="58"/>
        <v>CCM</v>
      </c>
      <c r="L18" s="126">
        <f t="shared" ca="1" si="59"/>
        <v>0.81563794799296285</v>
      </c>
      <c r="M18" s="126">
        <f>$C$2*Constants!$C$20/1000</f>
        <v>2.7E-2</v>
      </c>
      <c r="N18" s="126">
        <f>0.5*$C$2*IF($C$2&lt;=18,Fsw,1.5*Fsw-$C$2/36*Fsw)*($C$2/Constants!$C$25+$C$2/Constants!$C$26)*10^-3*IF($C$2&lt;=Vin_mode,$B18/(1-Efficiency!E18),$B18)</f>
        <v>6.6811279826464228E-3</v>
      </c>
      <c r="O18" s="218">
        <f ca="1">0.5*(Vout_typ+$C18)*IF($C$2&lt;=18,Fsw,1.5*Fsw-$C$2/36*Fsw)*((Vout_typ+$C18)/Constants!$C$25+(Vout_typ+$C18)/Constants!$C$26)*10^-3*IF($C$2&lt;=Vin_mode,$B18/(1-E18),0)</f>
        <v>2.7972986722890551E-2</v>
      </c>
      <c r="P18" s="218">
        <f t="shared" ca="1" si="60"/>
        <v>8.0959905658369538E-2</v>
      </c>
      <c r="Q18" s="126">
        <f t="shared" ca="1" si="61"/>
        <v>1.092492965494966E-2</v>
      </c>
      <c r="R18" s="126">
        <f>IF($C$2&lt;=Vin_mode,Fsw*$C$2*Qg_boost/1000,0)+Constants!$D$24*$C$2*IF(Efficiency!$C$2&lt;=18,Fsw,1.5*Fsw-Efficiency!$C$2/36*Fsw)/1000</f>
        <v>2.8080000000000001E-2</v>
      </c>
      <c r="S18" s="126">
        <f t="shared" ca="1" si="88"/>
        <v>0.14272103364101596</v>
      </c>
      <c r="T18" s="126">
        <f t="shared" ca="1" si="62"/>
        <v>3.5495426652331907E-2</v>
      </c>
      <c r="U18" s="126">
        <f t="shared" ca="1" si="63"/>
        <v>8.6486483375113943E-2</v>
      </c>
      <c r="V18" s="126">
        <f>IF($C$2&gt;(5+Design!$B$26),0,Vout_typ*Constants!$D$24*Fsw/1000)</f>
        <v>0</v>
      </c>
      <c r="W18" s="126">
        <f ca="1">(B18/(1-E18))^2*LoDCR/1000*(1+(Y18-25)*Constants!C$31/100)</f>
        <v>2.8971772299954023E-2</v>
      </c>
      <c r="X18" s="126">
        <f>IF(Snubber=1,0.5*Snubber!$B$16/1000000000000*$C$2^2*Fsw*1000000,0)</f>
        <v>0</v>
      </c>
      <c r="Y18" s="127">
        <f ca="1">S18*Design!$C$13+A18</f>
        <v>90.280678244717592</v>
      </c>
      <c r="Z18" s="127">
        <f ca="1">Constants!$D$21+Constants!$D$21*Constants!$C$22/100*(Y18-25)</f>
        <v>156.67568494497309</v>
      </c>
      <c r="AA18" s="127">
        <f ca="1">Rds_boost_max+Constants!$C$22*Rds_boost_max/100*(Y18-25)</f>
        <v>31.335136988994616</v>
      </c>
      <c r="AB18" s="126">
        <f t="shared" ca="1" si="64"/>
        <v>0.33257263234625606</v>
      </c>
      <c r="AC18" s="126">
        <f t="shared" si="65"/>
        <v>3.5966433566433578</v>
      </c>
      <c r="AD18" s="219">
        <f t="shared" ca="1" si="66"/>
        <v>91.53590351667647</v>
      </c>
      <c r="AE18" s="270">
        <f t="shared" si="89"/>
        <v>0.30000000000000004</v>
      </c>
      <c r="AF18" s="220">
        <f ca="1">FORECAST(AE18, OFFSET(Design!$C$19:$C$21,MATCH(AE18,Design!$B$19:$B$21,1)-1,0,2), OFFSET(Design!$B$19:$B$21,MATCH(AE18,Design!$B$19:$B$21,1)-1,0,2))+(BB18-25)*Design!$B$22/1000</f>
        <v>0.28829184615324777</v>
      </c>
      <c r="AG18" s="258">
        <f t="shared" ca="1" si="67"/>
        <v>0.81737723187991385</v>
      </c>
      <c r="AH18" s="220">
        <f>MAX(0,(1-1.844*Efficiency!$AF$2/RNG))</f>
        <v>0.20971428571428574</v>
      </c>
      <c r="AI18" s="128">
        <f>IF($AF$2&lt;=Vin_mode,MAX(Efficiency!$AF$2*AH18/(Fsw*Lo),(Efficiency!$AF$2*AH18/(Fsw*Lo)+(Efficiency!$AF$2-Vout_typ)*(1.844*Vout_typ/RNG-AH18)/(Fsw*Lo))),IF(AN18="DCM",AG18*($AF$2-Vout_typ)/(Lo*IF($AF$2&lt;=18,Fsw,1.5*Fsw-$AF$2/36*Fsw)),AG18*($AF$2-(Vout_typ+1*AF18)-(AO18-AI18/2)*(BC18+LoDCR)/1000)/(Lo*IF($AF$2&lt;=18,Fsw,1.5*Fsw-$AF$2/36*Fsw))))</f>
        <v>0.19114084000339554</v>
      </c>
      <c r="AJ18" s="128">
        <f t="shared" ca="1" si="68"/>
        <v>0.19030466619497718</v>
      </c>
      <c r="AK18" s="128">
        <f t="shared" ca="1" si="69"/>
        <v>0.17594130446757256</v>
      </c>
      <c r="AL18" s="220">
        <f t="shared" ca="1" si="70"/>
        <v>0.81522466673947525</v>
      </c>
      <c r="AM18" s="220">
        <f t="shared" ca="1" si="71"/>
        <v>0.1273424968013111</v>
      </c>
      <c r="AN18" s="220" t="str">
        <f t="shared" ca="1" si="90"/>
        <v>CCM</v>
      </c>
      <c r="AO18" s="128">
        <f t="shared" ca="1" si="73"/>
        <v>0.40169438585642908</v>
      </c>
      <c r="AP18" s="128">
        <f>$AF$2*Constants!$C$20/1000</f>
        <v>5.3999999999999999E-2</v>
      </c>
      <c r="AQ18" s="128">
        <f>0.5*$AF$2*IF($AF$2&lt;=18,Fsw,1.5*Fsw-$AF$2/36*Fsw)*($AF$2/Constants!$C$25+$AF$2/Constants!$C$26)*10^-3*IF($AF$2&lt;=Vin_mode,$AE18/(1-Efficiency!AH18),$AE18)</f>
        <v>1.3362255965292846E-2</v>
      </c>
      <c r="AR18" s="220">
        <f ca="1">0.5*(Vout_typ+$AF18)*IF($AF$2&lt;=18,Fsw,1.5*Fsw-$AF$2/36*Fsw)*((Vout_typ+$AF18)/Constants!$C$25+(Vout_typ+$AF18)/Constants!$C$26)*10^-3*IF($AF$2&lt;=Vin_mode,$AE18/(1-AH18),0)</f>
        <v>1.3986501491560917E-2</v>
      </c>
      <c r="AS18" s="220">
        <f t="shared" ca="1" si="74"/>
        <v>1.9078229155408497E-2</v>
      </c>
      <c r="AT18" s="128">
        <f t="shared" ca="1" si="91"/>
        <v>9.4694557666585302E-4</v>
      </c>
      <c r="AU18" s="128">
        <f>IF($AF$2&lt;=Vin_mode,Fsw*$AF$2*Qg_boost/1000,0)+Constants!$D$24*$AF$2*IF(Efficiency!$AF$2&lt;=18,Fsw,1.5*Fsw-Efficiency!$AF$2/36*Fsw)/1000</f>
        <v>5.6160000000000002E-2</v>
      </c>
      <c r="AV18" s="128">
        <f t="shared" ca="1" si="92"/>
        <v>0.14260048512070134</v>
      </c>
      <c r="AW18" s="128">
        <f t="shared" ca="1" si="93"/>
        <v>1.9985931930406341E-2</v>
      </c>
      <c r="AX18" s="128">
        <f t="shared" ca="1" si="94"/>
        <v>8.6487553845974341E-2</v>
      </c>
      <c r="AY18" s="128">
        <f>IF($AF$2&gt;(5+Design!$B$26),0,Vout_typ*Constants!$D$24*Fsw/1000)</f>
        <v>0</v>
      </c>
      <c r="AZ18" s="128">
        <f ca="1">(AE18/(1-AH18))^2*LoDCR/1000*(1+(BB6-25)*Constants!C$31/100)</f>
        <v>5.8793070554094577E-3</v>
      </c>
      <c r="BA18" s="128">
        <f>IF(Snubber=1,0.5*Snubber!$B$16/1000000000000*$AF$2^2*Fsw*1000000,0)</f>
        <v>0</v>
      </c>
      <c r="BB18" s="129">
        <f ca="1">AV18*Design!$C$13+A18</f>
        <v>90.276217949465945</v>
      </c>
      <c r="BC18" s="129">
        <f ca="1">Constants!$D$21+Constants!$D$21*Constants!$C$22/100*(BB18-25)</f>
        <v>156.67249583386814</v>
      </c>
      <c r="BD18" s="129">
        <f ca="1">Rds_boost_max+Constants!$C$22*Rds_boost_max/100*(BB18-25)</f>
        <v>31.334499166773632</v>
      </c>
      <c r="BE18" s="128">
        <f t="shared" ca="1" si="95"/>
        <v>0.26988672502071831</v>
      </c>
      <c r="BF18" s="128">
        <f t="shared" si="75"/>
        <v>3.5966433566433578</v>
      </c>
      <c r="BG18" s="285">
        <f t="shared" ca="1" si="96"/>
        <v>93.019924342485282</v>
      </c>
      <c r="BH18" s="284">
        <f t="shared" si="97"/>
        <v>0.30000000000000004</v>
      </c>
      <c r="BI18" s="272">
        <f ca="1">FORECAST(BH18, OFFSET(Design!$C$19:$C$21,MATCH(BH18,Design!$B$19:$B$21,1)-1,0,2), OFFSET(Design!$B$19:$B$21,MATCH(BH18,Design!$B$19:$B$21,1)-1,0,2))+(CE18-25)*Design!$B$22/1000</f>
        <v>0.28749351052780098</v>
      </c>
      <c r="BJ18" s="272">
        <f t="shared" ca="1" si="77"/>
        <v>0.6213253785975742</v>
      </c>
      <c r="BK18" s="272">
        <f>MAX(0,(1-1.844*Efficiency!$BI$2/RNG))</f>
        <v>0</v>
      </c>
      <c r="BL18" s="130">
        <f ca="1">IF($BI$2&lt;=Vin_mode,MAX(Efficiency!$BI$2*BK18/(Fsw*Lo),(Efficiency!$BI$2*BK18/(Fsw*Lo)+(Efficiency!$BI$2-Vout_typ)*(1.844*Vout_typ/RNG-BK18)/(Fsw*Lo))),IF(BQ18="DCM",BJ18*($BI$2-Vout_typ)/(Lo*IF($BI$2&lt;=18,Fsw,1.5*Fsw-$BI$2/36*Fsw)),BJ18*($BI$2-(Vout_typ+1*BI18)-(BR18-BL18/2)*(CF18+LoDCR)/1000)/(Lo*IF($BI$2&lt;=18,Fsw,1.5*Fsw-$BI$2/36*Fsw))))</f>
        <v>0.38198948871293675</v>
      </c>
      <c r="BM18" s="130">
        <f t="shared" si="78"/>
        <v>0</v>
      </c>
      <c r="BN18" s="130">
        <f t="shared" ca="1" si="79"/>
        <v>0.38260298663319942</v>
      </c>
      <c r="BO18" s="221">
        <f t="shared" ca="1" si="80"/>
        <v>0.62058602645379657</v>
      </c>
      <c r="BP18" s="221">
        <f t="shared" ca="1" si="81"/>
        <v>0.19130149331659971</v>
      </c>
      <c r="BQ18" s="221" t="str">
        <f t="shared" ca="1" si="82"/>
        <v>CCM</v>
      </c>
      <c r="BR18" s="130">
        <f t="shared" ca="1" si="83"/>
        <v>0.49099474435646839</v>
      </c>
      <c r="BS18" s="130">
        <f>$BI$2*Constants!$C$20/1000</f>
        <v>0.09</v>
      </c>
      <c r="BT18" s="130">
        <f>0.5*$BI$2*IF($BI$2&lt;=18,Fsw,1.5*Fsw-$BI$2/36*Fsw)*($BI$2/Constants!$C$25+$BI$2/Constants!$C$26)*10^-3*IF($BI$2&lt;=Vin_mode,$BH18/(1-Efficiency!BK18),$BH18)</f>
        <v>2.7703703703703713E-2</v>
      </c>
      <c r="BU18" s="221">
        <f ca="1">0.5*(Vout_typ+$BI18)*IF($BI$2&lt;=18,Fsw,1.5*Fsw-$BI$2/36*Fsw)*((Vout_typ+$BI18)/Constants!$C$25+(Vout_typ+$BI18)/Constants!$C$26)*10^-3*IF($BI$2&lt;=Vin_mode,$BH18/(1-BK18),0)</f>
        <v>0</v>
      </c>
      <c r="BV18" s="221">
        <f t="shared" ca="1" si="84"/>
        <v>8.8009129073165614E-3</v>
      </c>
      <c r="BW18" s="130">
        <f t="shared" ca="1" si="98"/>
        <v>0</v>
      </c>
      <c r="BX18" s="130">
        <f>IF($BI$2&lt;=Vin_mode,Fsw*$BI$2*Qg_boost/1000,0)+Constants!$D$24*$BI$2*IF(Efficiency!$BI$2&lt;=18,Fsw,1.5*Fsw-Efficiency!$BI$2/36*Fsw)/1000</f>
        <v>4.3066666666666677E-2</v>
      </c>
      <c r="BY18" s="130">
        <f t="shared" ca="1" si="99"/>
        <v>0.16957128327768695</v>
      </c>
      <c r="BZ18" s="130">
        <f t="shared" ca="1" si="100"/>
        <v>3.2659948876430811E-2</v>
      </c>
      <c r="CA18" s="130">
        <f t="shared" ca="1" si="101"/>
        <v>8.6248053158340304E-2</v>
      </c>
      <c r="CB18" s="130">
        <f>IF($BI$2&gt;(5+Design!$B$26),0,Vout_typ*Constants!$D$24*Fsw/1000)</f>
        <v>0</v>
      </c>
      <c r="CC18" s="130">
        <f ca="1">(BH18/(1-BK18))^2*LoDCR/1000*(1+(CE18-25)*Constants!C$31/100)</f>
        <v>4.5376464970850712E-3</v>
      </c>
      <c r="CD18" s="130">
        <f>IF(Snubber,0.5*Snubber!$B$16/1000000000000*$BI$2^2*IF($BI$2&lt;=18,Fsw,1.5*Fsw-$BI$2/36*Fsw)*1000000,0)</f>
        <v>0</v>
      </c>
      <c r="CE18" s="131">
        <f ca="1">BY18*Design!$C$13+A18</f>
        <v>91.274137481274423</v>
      </c>
      <c r="CF18" s="131">
        <f ca="1">Constants!$D$21+Constants!$D$21*Constants!$C$22/100*(CE18-25)</f>
        <v>157.38600829911121</v>
      </c>
      <c r="CG18" s="131">
        <f ca="1">Rds_boost_max+Constants!$C$22*Rds_boost_max/100*(CE18-25)</f>
        <v>31.477201659822242</v>
      </c>
      <c r="CH18" s="130">
        <f t="shared" ca="1" si="102"/>
        <v>0.29301693180954308</v>
      </c>
      <c r="CI18" s="130">
        <f t="shared" si="85"/>
        <v>3.5966433566433578</v>
      </c>
      <c r="CJ18" s="286">
        <f t="shared" ca="1" si="103"/>
        <v>92.466773186352242</v>
      </c>
    </row>
    <row r="19" spans="1:88" ht="12.75" customHeight="1" thickBot="1" x14ac:dyDescent="0.3">
      <c r="A19" s="95">
        <f>Design!$D$14</f>
        <v>85</v>
      </c>
      <c r="B19" s="217">
        <f t="shared" si="87"/>
        <v>0.4</v>
      </c>
      <c r="C19" s="218">
        <f ca="1">FORECAST(B19, OFFSET(Design!$C$19:$C$21,MATCH(B19,Design!$B$19:$B$21,1)-1,0,2), OFFSET(Design!$B$19:$B$21,MATCH(B19,Design!$B$19:$B$21,1)-1,0,2))+(Y19-25)*Design!$B$22/1000</f>
        <v>0.29459806726247895</v>
      </c>
      <c r="D19" s="250">
        <f t="shared" ca="1" si="53"/>
        <v>0.84638291517543041</v>
      </c>
      <c r="E19" s="218">
        <f>MAX(0,(1-1.844*Efficiency!$C$2/RNG))</f>
        <v>0.60485714285714287</v>
      </c>
      <c r="F19" s="126">
        <f>IF($C$2&lt;=Vin_mode,MAX(Efficiency!$C$2*E19/(Fsw*Lo),(Efficiency!$C$2*E19/(Fsw*Lo)+(Efficiency!$C$2-Vout_typ)*(1.844*Vout_typ/RNG-E19)/(Fsw*Lo))),IF(K19="DCM",D19*($C$2-Vout_typ)/(Lo*IF($C$2&lt;=18,Fsw,1.5*Fsw-$C$2/36*Fsw)),D19*($C$2-(Vout_typ+1*C19)-(L19-F19/2)*(Z19+LoDCR)/1000)/(Lo*IF($C$2&lt;=18,Fsw,1.5*Fsw-$C$2/36*Fsw))))</f>
        <v>0.27493506493506492</v>
      </c>
      <c r="G19" s="126">
        <f t="shared" ca="1" si="54"/>
        <v>0.2734935931438161</v>
      </c>
      <c r="H19" s="126">
        <f t="shared" ca="1" si="55"/>
        <v>0.16915476743392982</v>
      </c>
      <c r="I19" s="218">
        <f t="shared" ca="1" si="56"/>
        <v>0.82252812639755279</v>
      </c>
      <c r="J19" s="218">
        <f t="shared" ca="1" si="57"/>
        <v>6.6448024705671127E-2</v>
      </c>
      <c r="K19" s="218" t="str">
        <f t="shared" ca="1" si="58"/>
        <v>CCM</v>
      </c>
      <c r="L19" s="126">
        <f t="shared" ca="1" si="59"/>
        <v>1.0657344653542389</v>
      </c>
      <c r="M19" s="126">
        <f>$C$2*Constants!$C$20/1000</f>
        <v>2.7E-2</v>
      </c>
      <c r="N19" s="126">
        <f>0.5*$C$2*IF($C$2&lt;=18,Fsw,1.5*Fsw-$C$2/36*Fsw)*($C$2/Constants!$C$25+$C$2/Constants!$C$26)*10^-3*IF($C$2&lt;=Vin_mode,$B19/(1-Efficiency!E19),$B19)</f>
        <v>8.908170643528562E-3</v>
      </c>
      <c r="O19" s="218">
        <f ca="1">0.5*(Vout_typ+$C19)*IF($C$2&lt;=18,Fsw,1.5*Fsw-$C$2/36*Fsw)*((Vout_typ+$C19)/Constants!$C$25+(Vout_typ+$C19)/Constants!$C$26)*10^-3*IF($C$2&lt;=Vin_mode,$B19/(1-E19),0)</f>
        <v>3.7335663235539857E-2</v>
      </c>
      <c r="P19" s="218">
        <f t="shared" ca="1" si="60"/>
        <v>0.14276458123044888</v>
      </c>
      <c r="Q19" s="126">
        <f t="shared" ca="1" si="61"/>
        <v>1.9632086597992184E-2</v>
      </c>
      <c r="R19" s="126">
        <f>IF($C$2&lt;=Vin_mode,Fsw*$C$2*Qg_boost/1000,0)+Constants!$D$24*$C$2*IF(Efficiency!$C$2&lt;=18,Fsw,1.5*Fsw-Efficiency!$C$2/36*Fsw)/1000</f>
        <v>2.8080000000000001E-2</v>
      </c>
      <c r="S19" s="126">
        <f t="shared" ca="1" si="88"/>
        <v>0.20675275187397743</v>
      </c>
      <c r="T19" s="126">
        <f t="shared" ca="1" si="62"/>
        <v>4.5811579756283652E-2</v>
      </c>
      <c r="U19" s="126">
        <f t="shared" ca="1" si="63"/>
        <v>0.11783922690499159</v>
      </c>
      <c r="V19" s="126">
        <f>IF($C$2&gt;(5+Design!$B$26),0,Vout_typ*Constants!$D$24*Fsw/1000)</f>
        <v>0</v>
      </c>
      <c r="W19" s="126">
        <f ca="1">(B19/(1-E19))^2*LoDCR/1000*(1+(Y19-25)*Constants!C$31/100)</f>
        <v>5.1887019344890692E-2</v>
      </c>
      <c r="X19" s="126">
        <f>IF(Snubber=1,0.5*Snubber!$B$16/1000000000000*$C$2^2*Fsw*1000000,0)</f>
        <v>0</v>
      </c>
      <c r="Y19" s="127">
        <f ca="1">S19*Design!$C$13+A19</f>
        <v>92.649851819337158</v>
      </c>
      <c r="Z19" s="127">
        <f ca="1">Constants!$D$21+Constants!$D$21*Constants!$C$22/100*(Y19-25)</f>
        <v>158.36964405082608</v>
      </c>
      <c r="AA19" s="127">
        <f ca="1">Rds_boost_max+Constants!$C$22*Rds_boost_max/100*(Y19-25)</f>
        <v>31.673928810165215</v>
      </c>
      <c r="AB19" s="126">
        <f t="shared" ca="1" si="64"/>
        <v>0.47925832771367549</v>
      </c>
      <c r="AC19" s="126">
        <f t="shared" si="65"/>
        <v>4.7955244755244761</v>
      </c>
      <c r="AD19" s="219">
        <f t="shared" ca="1" si="66"/>
        <v>90.914159964663156</v>
      </c>
      <c r="AE19" s="270">
        <f t="shared" si="89"/>
        <v>0.4</v>
      </c>
      <c r="AF19" s="220">
        <f ca="1">FORECAST(AE19, OFFSET(Design!$C$19:$C$21,MATCH(AE19,Design!$B$19:$B$21,1)-1,0,2), OFFSET(Design!$B$19:$B$21,MATCH(AE19,Design!$B$19:$B$21,1)-1,0,2))+(BB19-25)*Design!$B$22/1000</f>
        <v>0.29593415835903319</v>
      </c>
      <c r="AG19" s="258">
        <f t="shared" ca="1" si="67"/>
        <v>0.81980348982395923</v>
      </c>
      <c r="AH19" s="220">
        <f>MAX(0,(1-1.844*Efficiency!$AF$2/RNG))</f>
        <v>0.20971428571428574</v>
      </c>
      <c r="AI19" s="128">
        <f>IF($AF$2&lt;=Vin_mode,MAX(Efficiency!$AF$2*AH19/(Fsw*Lo),(Efficiency!$AF$2*AH19/(Fsw*Lo)+(Efficiency!$AF$2-Vout_typ)*(1.844*Vout_typ/RNG-AH19)/(Fsw*Lo))),IF(AN19="DCM",AG19*($AF$2-Vout_typ)/(Lo*IF($AF$2&lt;=18,Fsw,1.5*Fsw-$AF$2/36*Fsw)),AG19*($AF$2-(Vout_typ+1*AF19)-(AO19-AI19/2)*(BC19+LoDCR)/1000)/(Lo*IF($AF$2&lt;=18,Fsw,1.5*Fsw-$AF$2/36*Fsw))))</f>
        <v>0.19114084000339554</v>
      </c>
      <c r="AJ19" s="128">
        <f t="shared" ca="1" si="68"/>
        <v>0.1903037553398873</v>
      </c>
      <c r="AK19" s="128">
        <f t="shared" ca="1" si="69"/>
        <v>0.1755724162475335</v>
      </c>
      <c r="AL19" s="220">
        <f t="shared" ca="1" si="70"/>
        <v>0.81583592437798824</v>
      </c>
      <c r="AM19" s="220">
        <f t="shared" ca="1" si="71"/>
        <v>0.12742731950872233</v>
      </c>
      <c r="AN19" s="220" t="str">
        <f t="shared" ca="1" si="90"/>
        <v>CCM</v>
      </c>
      <c r="AO19" s="128">
        <f t="shared" ca="1" si="73"/>
        <v>0.52793748971846555</v>
      </c>
      <c r="AP19" s="128">
        <f>$AF$2*Constants!$C$20/1000</f>
        <v>5.3999999999999999E-2</v>
      </c>
      <c r="AQ19" s="128">
        <f>0.5*$AF$2*IF($AF$2&lt;=18,Fsw,1.5*Fsw-$AF$2/36*Fsw)*($AF$2/Constants!$C$25+$AF$2/Constants!$C$26)*10^-3*IF($AF$2&lt;=Vin_mode,$AE19/(1-Efficiency!AH19),$AE19)</f>
        <v>1.7816341287057124E-2</v>
      </c>
      <c r="AR19" s="220">
        <f ca="1">0.5*(Vout_typ+$AF19)*IF($AF$2&lt;=18,Fsw,1.5*Fsw-$AF$2/36*Fsw)*((Vout_typ+$AF19)/Constants!$C$25+(Vout_typ+$AF19)/Constants!$C$26)*10^-3*IF($AF$2&lt;=Vin_mode,$AE19/(1-AH19),0)</f>
        <v>1.8671892913716043E-2</v>
      </c>
      <c r="AS19" s="220">
        <f t="shared" ca="1" si="74"/>
        <v>3.3638197865493276E-2</v>
      </c>
      <c r="AT19" s="128">
        <f t="shared" ca="1" si="91"/>
        <v>1.6888637596803172E-3</v>
      </c>
      <c r="AU19" s="128">
        <f>IF($AF$2&lt;=Vin_mode,Fsw*$AF$2*Qg_boost/1000,0)+Constants!$D$24*$AF$2*IF(Efficiency!$AF$2&lt;=18,Fsw,1.5*Fsw-Efficiency!$AF$2/36*Fsw)/1000</f>
        <v>5.6160000000000002E-2</v>
      </c>
      <c r="AV19" s="128">
        <f t="shared" ca="1" si="92"/>
        <v>0.16161453915255042</v>
      </c>
      <c r="AW19" s="128">
        <f t="shared" ca="1" si="93"/>
        <v>2.6990897906527197E-2</v>
      </c>
      <c r="AX19" s="128">
        <f t="shared" ca="1" si="94"/>
        <v>0.11837366334361328</v>
      </c>
      <c r="AY19" s="128">
        <f>IF($AF$2&gt;(5+Design!$B$26),0,Vout_typ*Constants!$D$24*Fsw/1000)</f>
        <v>0</v>
      </c>
      <c r="AZ19" s="128">
        <f ca="1">(AE19/(1-AH19))^2*LoDCR/1000*(1+(BB7-25)*Constants!C$31/100)</f>
        <v>1.0474522743414105E-2</v>
      </c>
      <c r="BA19" s="128">
        <f>IF(Snubber=1,0.5*Snubber!$B$16/1000000000000*$AF$2^2*Fsw*1000000,0)</f>
        <v>0</v>
      </c>
      <c r="BB19" s="129">
        <f ca="1">AV19*Design!$C$13+A19</f>
        <v>90.97973794864437</v>
      </c>
      <c r="BC19" s="129">
        <f ca="1">Constants!$D$21+Constants!$D$21*Constants!$C$22/100*(BB19-25)</f>
        <v>157.17551263328073</v>
      </c>
      <c r="BD19" s="129">
        <f ca="1">Rds_boost_max+Constants!$C$22*Rds_boost_max/100*(BB19-25)</f>
        <v>31.435102526656145</v>
      </c>
      <c r="BE19" s="128">
        <f t="shared" ca="1" si="95"/>
        <v>0.3378143798195013</v>
      </c>
      <c r="BF19" s="128">
        <f t="shared" si="75"/>
        <v>4.7955244755244761</v>
      </c>
      <c r="BG19" s="285">
        <f t="shared" ca="1" si="96"/>
        <v>93.419207472192781</v>
      </c>
      <c r="BH19" s="284">
        <f t="shared" si="97"/>
        <v>0.4</v>
      </c>
      <c r="BI19" s="272">
        <f ca="1">FORECAST(BH19, OFFSET(Design!$C$19:$C$21,MATCH(BH19,Design!$B$19:$B$21,1)-1,0,2), OFFSET(Design!$B$19:$B$21,MATCH(BH19,Design!$B$19:$B$21,1)-1,0,2))+(CE19-25)*Design!$B$22/1000</f>
        <v>0.29522051503956709</v>
      </c>
      <c r="BJ19" s="272">
        <f t="shared" ca="1" si="77"/>
        <v>0.62253820502905832</v>
      </c>
      <c r="BK19" s="272">
        <f>MAX(0,(1-1.844*Efficiency!$BI$2/RNG))</f>
        <v>0</v>
      </c>
      <c r="BL19" s="130">
        <f ca="1">IF($BI$2&lt;=Vin_mode,MAX(Efficiency!$BI$2*BK19/(Fsw*Lo),(Efficiency!$BI$2*BK19/(Fsw*Lo)+(Efficiency!$BI$2-Vout_typ)*(1.844*Vout_typ/RNG-BK19)/(Fsw*Lo))),IF(BQ19="DCM",BJ19*($BI$2-Vout_typ)/(Lo*IF($BI$2&lt;=18,Fsw,1.5*Fsw-$BI$2/36*Fsw)),BJ19*($BI$2-(Vout_typ+1*BI19)-(BR19-BL19/2)*(CF19+LoDCR)/1000)/(Lo*IF($BI$2&lt;=18,Fsw,1.5*Fsw-$BI$2/36*Fsw))))</f>
        <v>0.38135506769952487</v>
      </c>
      <c r="BM19" s="130">
        <f t="shared" si="78"/>
        <v>0</v>
      </c>
      <c r="BN19" s="130">
        <f t="shared" ca="1" si="79"/>
        <v>0.38253992930369102</v>
      </c>
      <c r="BO19" s="221">
        <f t="shared" ca="1" si="80"/>
        <v>0.62111428214726128</v>
      </c>
      <c r="BP19" s="221">
        <f t="shared" ca="1" si="81"/>
        <v>0.19126996465184551</v>
      </c>
      <c r="BQ19" s="221" t="str">
        <f t="shared" ca="1" si="82"/>
        <v>CCM</v>
      </c>
      <c r="BR19" s="130">
        <f t="shared" ca="1" si="83"/>
        <v>0.59067753384976251</v>
      </c>
      <c r="BS19" s="130">
        <f>$BI$2*Constants!$C$20/1000</f>
        <v>0.09</v>
      </c>
      <c r="BT19" s="130">
        <f>0.5*$BI$2*IF($BI$2&lt;=18,Fsw,1.5*Fsw-$BI$2/36*Fsw)*($BI$2/Constants!$C$25+$BI$2/Constants!$C$26)*10^-3*IF($BI$2&lt;=Vin_mode,$BH19/(1-Efficiency!BK19),$BH19)</f>
        <v>3.6938271604938282E-2</v>
      </c>
      <c r="BU19" s="221">
        <f ca="1">0.5*(Vout_typ+$BI19)*IF($BI$2&lt;=18,Fsw,1.5*Fsw-$BI$2/36*Fsw)*((Vout_typ+$BI19)/Constants!$C$25+(Vout_typ+$BI19)/Constants!$C$26)*10^-3*IF($BI$2&lt;=Vin_mode,$BH19/(1-BK19),0)</f>
        <v>0</v>
      </c>
      <c r="BV19" s="221">
        <f t="shared" ca="1" si="84"/>
        <v>1.5719172484530943E-2</v>
      </c>
      <c r="BW19" s="130">
        <f t="shared" ca="1" si="98"/>
        <v>0</v>
      </c>
      <c r="BX19" s="130">
        <f>IF($BI$2&lt;=Vin_mode,Fsw*$BI$2*Qg_boost/1000,0)+Constants!$D$24*$BI$2*IF(Efficiency!$BI$2&lt;=18,Fsw,1.5*Fsw-Efficiency!$BI$2/36*Fsw)/1000</f>
        <v>4.3066666666666677E-2</v>
      </c>
      <c r="BY19" s="130">
        <f t="shared" ca="1" si="99"/>
        <v>0.1857241107561359</v>
      </c>
      <c r="BZ19" s="130">
        <f t="shared" ca="1" si="100"/>
        <v>4.4573786207632353E-2</v>
      </c>
      <c r="CA19" s="130">
        <f t="shared" ca="1" si="101"/>
        <v>0.11808820601582684</v>
      </c>
      <c r="CB19" s="130">
        <f>IF($BI$2&gt;(5+Design!$B$26),0,Vout_typ*Constants!$D$24*Fsw/1000)</f>
        <v>0</v>
      </c>
      <c r="CC19" s="130">
        <f ca="1">(BH19/(1-BK19))^2*LoDCR/1000*(1+(CE19-25)*Constants!C$31/100)</f>
        <v>8.081959314848319E-3</v>
      </c>
      <c r="CD19" s="130">
        <f>IF(Snubber,0.5*Snubber!$B$16/1000000000000*$BI$2^2*IF($BI$2&lt;=18,Fsw,1.5*Fsw-$BI$2/36*Fsw)*1000000,0)</f>
        <v>0</v>
      </c>
      <c r="CE19" s="131">
        <f ca="1">BY19*Design!$C$13+A19</f>
        <v>91.871792097977021</v>
      </c>
      <c r="CF19" s="131">
        <f ca="1">Constants!$D$21+Constants!$D$21*Constants!$C$22/100*(CE19-25)</f>
        <v>157.81333135005357</v>
      </c>
      <c r="CG19" s="131">
        <f ca="1">Rds_boost_max+Constants!$C$22*Rds_boost_max/100*(CE19-25)</f>
        <v>31.562666270010716</v>
      </c>
      <c r="CH19" s="130">
        <f t="shared" ca="1" si="102"/>
        <v>0.35646806229444344</v>
      </c>
      <c r="CI19" s="130">
        <f t="shared" si="85"/>
        <v>4.7955244755244761</v>
      </c>
      <c r="CJ19" s="286">
        <f t="shared" ca="1" si="103"/>
        <v>93.080967030178329</v>
      </c>
    </row>
    <row r="20" spans="1:88" ht="12.75" customHeight="1" thickBot="1" x14ac:dyDescent="0.3">
      <c r="A20" s="95">
        <f>Design!$D$14</f>
        <v>85</v>
      </c>
      <c r="B20" s="217">
        <f t="shared" si="87"/>
        <v>0.5</v>
      </c>
      <c r="C20" s="218">
        <f ca="1">FORECAST(B20, OFFSET(Design!$C$19:$C$21,MATCH(B20,Design!$B$19:$B$21,1)-1,0,2), OFFSET(Design!$B$19:$B$21,MATCH(B20,Design!$B$19:$B$21,1)-1,0,2))+(Y20-25)*Design!$B$22/1000</f>
        <v>0.30028893107586124</v>
      </c>
      <c r="D20" s="250">
        <f t="shared" ca="1" si="53"/>
        <v>0.85521677118900652</v>
      </c>
      <c r="E20" s="218">
        <f>MAX(0,(1-1.844*Efficiency!$C$2/RNG))</f>
        <v>0.60485714285714287</v>
      </c>
      <c r="F20" s="126">
        <f>IF($C$2&lt;=Vin_mode,MAX(Efficiency!$C$2*E20/(Fsw*Lo),(Efficiency!$C$2*E20/(Fsw*Lo)+(Efficiency!$C$2-Vout_typ)*(1.844*Vout_typ/RNG-E20)/(Fsw*Lo))),IF(K20="DCM",D20*($C$2-Vout_typ)/(Lo*IF($C$2&lt;=18,Fsw,1.5*Fsw-$C$2/36*Fsw)),D20*($C$2-(Vout_typ+1*C20)-(L20-F20/2)*(Z20+LoDCR)/1000)/(Lo*IF($C$2&lt;=18,Fsw,1.5*Fsw-$C$2/36*Fsw))))</f>
        <v>0.27493506493506492</v>
      </c>
      <c r="G20" s="126">
        <f t="shared" ca="1" si="54"/>
        <v>0.27347678597261993</v>
      </c>
      <c r="H20" s="126">
        <f t="shared" ca="1" si="55"/>
        <v>0.16876228552508146</v>
      </c>
      <c r="I20" s="218">
        <f t="shared" ca="1" si="56"/>
        <v>0.82309982808782112</v>
      </c>
      <c r="J20" s="218">
        <f t="shared" ca="1" si="57"/>
        <v>6.7576379086918548E-2</v>
      </c>
      <c r="K20" s="218" t="str">
        <f t="shared" ca="1" si="58"/>
        <v>CCM</v>
      </c>
      <c r="L20" s="126">
        <f t="shared" ca="1" si="59"/>
        <v>1.3157342561284548</v>
      </c>
      <c r="M20" s="126">
        <f>$C$2*Constants!$C$20/1000</f>
        <v>2.7E-2</v>
      </c>
      <c r="N20" s="126">
        <f>0.5*$C$2*IF($C$2&lt;=18,Fsw,1.5*Fsw-$C$2/36*Fsw)*($C$2/Constants!$C$25+$C$2/Constants!$C$26)*10^-3*IF($C$2&lt;=Vin_mode,$B20/(1-Efficiency!E20),$B20)</f>
        <v>1.1135213304410703E-2</v>
      </c>
      <c r="O20" s="218">
        <f ca="1">0.5*(Vout_typ+$C20)*IF($C$2&lt;=18,Fsw,1.5*Fsw-$C$2/36*Fsw)*((Vout_typ+$C20)/Constants!$C$25+(Vout_typ+$C20)/Constants!$C$26)*10^-3*IF($C$2&lt;=Vin_mode,$B20/(1-E20),0)</f>
        <v>4.6712832792073652E-2</v>
      </c>
      <c r="P20" s="218">
        <f t="shared" ca="1" si="60"/>
        <v>0.22547890315557753</v>
      </c>
      <c r="Q20" s="126">
        <f t="shared" ca="1" si="61"/>
        <v>3.1110388081690404E-2</v>
      </c>
      <c r="R20" s="126">
        <f>IF($C$2&lt;=Vin_mode,Fsw*$C$2*Qg_boost/1000,0)+Constants!$D$24*$C$2*IF(Efficiency!$C$2&lt;=18,Fsw,1.5*Fsw-Efficiency!$C$2/36*Fsw)/1000</f>
        <v>2.8080000000000001E-2</v>
      </c>
      <c r="S20" s="126">
        <f t="shared" ca="1" si="88"/>
        <v>0.29169411645998822</v>
      </c>
      <c r="T20" s="126">
        <f t="shared" ca="1" si="62"/>
        <v>5.5014028763838665E-2</v>
      </c>
      <c r="U20" s="126">
        <f t="shared" ca="1" si="63"/>
        <v>0.15014446553793062</v>
      </c>
      <c r="V20" s="126">
        <f>IF($C$2&gt;(5+Design!$B$26),0,Vout_typ*Constants!$D$24*Fsw/1000)</f>
        <v>0</v>
      </c>
      <c r="W20" s="126">
        <f ca="1">(B20/(1-E20))^2*LoDCR/1000*(1+(Y20-25)*Constants!C$31/100)</f>
        <v>8.1864520097422941E-2</v>
      </c>
      <c r="X20" s="126">
        <f>IF(Snubber=1,0.5*Snubber!$B$16/1000000000000*$C$2^2*Fsw*1000000,0)</f>
        <v>0</v>
      </c>
      <c r="Y20" s="127">
        <f ca="1">S20*Design!$C$13+A20</f>
        <v>95.792682309019568</v>
      </c>
      <c r="Z20" s="127">
        <f ca="1">Constants!$D$21+Constants!$D$21*Constants!$C$22/100*(Y20-25)</f>
        <v>160.61676785094897</v>
      </c>
      <c r="AA20" s="127">
        <f ca="1">Rds_boost_max+Constants!$C$22*Rds_boost_max/100*(Y20-25)</f>
        <v>32.123353570189799</v>
      </c>
      <c r="AB20" s="126">
        <f t="shared" ca="1" si="64"/>
        <v>0.65654035173294445</v>
      </c>
      <c r="AC20" s="126">
        <f t="shared" si="65"/>
        <v>5.9944055944055954</v>
      </c>
      <c r="AD20" s="219">
        <f t="shared" ca="1" si="66"/>
        <v>90.128616935849195</v>
      </c>
      <c r="AE20" s="270">
        <f t="shared" si="89"/>
        <v>0.5</v>
      </c>
      <c r="AF20" s="220">
        <f ca="1">FORECAST(AE20, OFFSET(Design!$C$19:$C$21,MATCH(AE20,Design!$B$19:$B$21,1)-1,0,2), OFFSET(Design!$B$19:$B$21,MATCH(AE20,Design!$B$19:$B$21,1)-1,0,2))+(BB20-25)*Design!$B$22/1000</f>
        <v>0.30344713914769611</v>
      </c>
      <c r="AG20" s="258">
        <f t="shared" ca="1" si="67"/>
        <v>0.82223794458231902</v>
      </c>
      <c r="AH20" s="220">
        <f>MAX(0,(1-1.844*Efficiency!$AF$2/RNG))</f>
        <v>0.20971428571428574</v>
      </c>
      <c r="AI20" s="128">
        <f>IF($AF$2&lt;=Vin_mode,MAX(Efficiency!$AF$2*AH20/(Fsw*Lo),(Efficiency!$AF$2*AH20/(Fsw*Lo)+(Efficiency!$AF$2-Vout_typ)*(1.844*Vout_typ/RNG-AH20)/(Fsw*Lo))),IF(AN20="DCM",AG20*($AF$2-Vout_typ)/(Lo*IF($AF$2&lt;=18,Fsw,1.5*Fsw-$AF$2/36*Fsw)),AG20*($AF$2-(Vout_typ+1*AF20)-(AO20-AI20/2)*(BC20+LoDCR)/1000)/(Lo*IF($AF$2&lt;=18,Fsw,1.5*Fsw-$AF$2/36*Fsw))))</f>
        <v>0.19114084000339554</v>
      </c>
      <c r="AJ20" s="128">
        <f t="shared" ca="1" si="68"/>
        <v>0.19030263518823984</v>
      </c>
      <c r="AK20" s="128">
        <f t="shared" ca="1" si="69"/>
        <v>0.17520781176743794</v>
      </c>
      <c r="AL20" s="220">
        <f t="shared" ca="1" si="70"/>
        <v>0.81643744453259381</v>
      </c>
      <c r="AM20" s="220">
        <f t="shared" ca="1" si="71"/>
        <v>0.12751454853439792</v>
      </c>
      <c r="AN20" s="220" t="str">
        <f t="shared" ca="1" si="90"/>
        <v>CCM</v>
      </c>
      <c r="AO20" s="128">
        <f t="shared" ca="1" si="73"/>
        <v>0.65417960232762651</v>
      </c>
      <c r="AP20" s="128">
        <f>$AF$2*Constants!$C$20/1000</f>
        <v>5.3999999999999999E-2</v>
      </c>
      <c r="AQ20" s="128">
        <f>0.5*$AF$2*IF($AF$2&lt;=18,Fsw,1.5*Fsw-$AF$2/36*Fsw)*($AF$2/Constants!$C$25+$AF$2/Constants!$C$26)*10^-3*IF($AF$2&lt;=Vin_mode,$AE20/(1-Efficiency!AH20),$AE20)</f>
        <v>2.2270426608821406E-2</v>
      </c>
      <c r="AR20" s="220">
        <f ca="1">0.5*(Vout_typ+$AF20)*IF($AF$2&lt;=18,Fsw,1.5*Fsw-$AF$2/36*Fsw)*((Vout_typ+$AF20)/Constants!$C$25+(Vout_typ+$AF20)/Constants!$C$26)*10^-3*IF($AF$2&lt;=Vin_mode,$AE20/(1-AH20),0)</f>
        <v>2.3368422792034521E-2</v>
      </c>
      <c r="AS20" s="220">
        <f t="shared" ca="1" si="74"/>
        <v>5.2567471208096579E-2</v>
      </c>
      <c r="AT20" s="128">
        <f t="shared" ca="1" si="91"/>
        <v>2.6492355311328185E-3</v>
      </c>
      <c r="AU20" s="128">
        <f>IF($AF$2&lt;=Vin_mode,Fsw*$AF$2*Qg_boost/1000,0)+Constants!$D$24*$AF$2*IF(Efficiency!$AF$2&lt;=18,Fsw,1.5*Fsw-Efficiency!$AF$2/36*Fsw)/1000</f>
        <v>5.6160000000000002E-2</v>
      </c>
      <c r="AV20" s="128">
        <f t="shared" ca="1" si="92"/>
        <v>0.184997897816918</v>
      </c>
      <c r="AW20" s="128">
        <f t="shared" ca="1" si="93"/>
        <v>3.4127775683167626E-2</v>
      </c>
      <c r="AX20" s="128">
        <f t="shared" ca="1" si="94"/>
        <v>0.15172356957384805</v>
      </c>
      <c r="AY20" s="128">
        <f>IF($AF$2&gt;(5+Design!$B$26),0,Vout_typ*Constants!$D$24*Fsw/1000)</f>
        <v>0</v>
      </c>
      <c r="AZ20" s="128">
        <f ca="1">(AE20/(1-AH20))^2*LoDCR/1000*(1+(BB8-25)*Constants!C$31/100)</f>
        <v>1.6408867302123084E-2</v>
      </c>
      <c r="BA20" s="128">
        <f>IF(Snubber=1,0.5*Snubber!$B$16/1000000000000*$AF$2^2*Fsw*1000000,0)</f>
        <v>0</v>
      </c>
      <c r="BB20" s="129">
        <f ca="1">AV20*Design!$C$13+A20</f>
        <v>91.844922219225964</v>
      </c>
      <c r="BC20" s="129">
        <f ca="1">Constants!$D$21+Constants!$D$21*Constants!$C$22/100*(BB20-25)</f>
        <v>157.79411938674656</v>
      </c>
      <c r="BD20" s="129">
        <f ca="1">Rds_boost_max+Constants!$C$22*Rds_boost_max/100*(BB20-25)</f>
        <v>31.558823877349312</v>
      </c>
      <c r="BE20" s="128">
        <f t="shared" ca="1" si="95"/>
        <v>0.41327576869922411</v>
      </c>
      <c r="BF20" s="128">
        <f t="shared" si="75"/>
        <v>5.9944055944055954</v>
      </c>
      <c r="BG20" s="285">
        <f t="shared" ref="BG20:BG25" ca="1" si="104">100*BF20/(BF20+BE20)</f>
        <v>93.550307119220236</v>
      </c>
      <c r="BH20" s="284">
        <f t="shared" si="97"/>
        <v>0.5</v>
      </c>
      <c r="BI20" s="272">
        <f ca="1">FORECAST(BH20, OFFSET(Design!$C$19:$C$21,MATCH(BH20,Design!$B$19:$B$21,1)-1,0,2), OFFSET(Design!$B$19:$B$21,MATCH(BH20,Design!$B$19:$B$21,1)-1,0,2))+(CE20-25)*Design!$B$22/1000</f>
        <v>0.30288693672149719</v>
      </c>
      <c r="BJ20" s="272">
        <f t="shared" ca="1" si="77"/>
        <v>0.62375136108948959</v>
      </c>
      <c r="BK20" s="272">
        <f>MAX(0,(1-1.844*Efficiency!$BI$2/RNG))</f>
        <v>0</v>
      </c>
      <c r="BL20" s="130">
        <f ca="1">IF($BI$2&lt;=Vin_mode,MAX(Efficiency!$BI$2*BK20/(Fsw*Lo),(Efficiency!$BI$2*BK20/(Fsw*Lo)+(Efficiency!$BI$2-Vout_typ)*(1.844*Vout_typ/RNG-BK20)/(Fsw*Lo))),IF(BQ20="DCM",BJ20*($BI$2-Vout_typ)/(Lo*IF($BI$2&lt;=18,Fsw,1.5*Fsw-$BI$2/36*Fsw)),BJ20*($BI$2-(Vout_typ+1*BI20)-(BR20-BL20/2)*(CF20+LoDCR)/1000)/(Lo*IF($BI$2&lt;=18,Fsw,1.5*Fsw-$BI$2/36*Fsw))))</f>
        <v>0.38071287113053409</v>
      </c>
      <c r="BM20" s="130">
        <f t="shared" si="78"/>
        <v>0</v>
      </c>
      <c r="BN20" s="130">
        <f t="shared" ca="1" si="79"/>
        <v>0.38247613395677843</v>
      </c>
      <c r="BO20" s="221">
        <f t="shared" ca="1" si="80"/>
        <v>0.6216383342288232</v>
      </c>
      <c r="BP20" s="221">
        <f t="shared" ca="1" si="81"/>
        <v>0.19123806697838922</v>
      </c>
      <c r="BQ20" s="221" t="str">
        <f t="shared" ca="1" si="82"/>
        <v>CCM</v>
      </c>
      <c r="BR20" s="130">
        <f t="shared" ca="1" si="83"/>
        <v>0.69035643556526705</v>
      </c>
      <c r="BS20" s="130">
        <f>$BI$2*Constants!$C$20/1000</f>
        <v>0.09</v>
      </c>
      <c r="BT20" s="130">
        <f>0.5*$BI$2*IF($BI$2&lt;=18,Fsw,1.5*Fsw-$BI$2/36*Fsw)*($BI$2/Constants!$C$25+$BI$2/Constants!$C$26)*10^-3*IF($BI$2&lt;=Vin_mode,$BH20/(1-Efficiency!BK20),$BH20)</f>
        <v>4.6172839506172847E-2</v>
      </c>
      <c r="BU20" s="221">
        <f ca="1">0.5*(Vout_typ+$BI20)*IF($BI$2&lt;=18,Fsw,1.5*Fsw-$BI$2/36*Fsw)*((Vout_typ+$BI20)/Constants!$C$25+(Vout_typ+$BI20)/Constants!$C$26)*10^-3*IF($BI$2&lt;=Vin_mode,$BH20/(1-BK20),0)</f>
        <v>0</v>
      </c>
      <c r="BV20" s="221">
        <f t="shared" ca="1" si="84"/>
        <v>2.4684149285933411E-2</v>
      </c>
      <c r="BW20" s="130">
        <f t="shared" ca="1" si="98"/>
        <v>0</v>
      </c>
      <c r="BX20" s="130">
        <f>IF($BI$2&lt;=Vin_mode,Fsw*$BI$2*Qg_boost/1000,0)+Constants!$D$24*$BI$2*IF(Efficiency!$BI$2&lt;=18,Fsw,1.5*Fsw-Efficiency!$BI$2/36*Fsw)/1000</f>
        <v>4.3066666666666677E-2</v>
      </c>
      <c r="BY20" s="130">
        <f t="shared" ca="1" si="99"/>
        <v>0.20392365545877292</v>
      </c>
      <c r="BZ20" s="130">
        <f t="shared" ca="1" si="100"/>
        <v>5.6980398842618608E-2</v>
      </c>
      <c r="CA20" s="130">
        <f t="shared" ca="1" si="101"/>
        <v>0.1514434683607486</v>
      </c>
      <c r="CB20" s="130">
        <f>IF($BI$2&gt;(5+Design!$B$26),0,Vout_typ*Constants!$D$24*Fsw/1000)</f>
        <v>0</v>
      </c>
      <c r="CC20" s="130">
        <f ca="1">(BH20/(1-BK20))^2*LoDCR/1000*(1+(CE20-25)*Constants!C$31/100)</f>
        <v>1.2654525387402603E-2</v>
      </c>
      <c r="CD20" s="130">
        <f>IF(Snubber,0.5*Snubber!$B$16/1000000000000*$BI$2^2*IF($BI$2&lt;=18,Fsw,1.5*Fsw-$BI$2/36*Fsw)*1000000,0)</f>
        <v>0</v>
      </c>
      <c r="CE20" s="131">
        <f ca="1">BY20*Design!$C$13+A20</f>
        <v>92.545175251974598</v>
      </c>
      <c r="CF20" s="131">
        <f ca="1">Constants!$D$21+Constants!$D$21*Constants!$C$22/100*(CE20-25)</f>
        <v>158.29480030516183</v>
      </c>
      <c r="CG20" s="131">
        <f ca="1">Rds_boost_max+Constants!$C$22*Rds_boost_max/100*(CE20-25)</f>
        <v>31.658960061032367</v>
      </c>
      <c r="CH20" s="130">
        <f t="shared" ca="1" si="102"/>
        <v>0.42500204804954272</v>
      </c>
      <c r="CI20" s="130">
        <f t="shared" si="85"/>
        <v>5.9944055944055954</v>
      </c>
      <c r="CJ20" s="286">
        <f t="shared" ref="CJ20:CJ25" ca="1" si="105">100*CI20/(CI20+CH20)</f>
        <v>93.379419539604157</v>
      </c>
    </row>
    <row r="21" spans="1:88" ht="12.75" customHeight="1" thickBot="1" x14ac:dyDescent="0.3">
      <c r="A21" s="95">
        <f>Design!$D$14</f>
        <v>85</v>
      </c>
      <c r="B21" s="217">
        <f t="shared" si="87"/>
        <v>0.6</v>
      </c>
      <c r="C21" s="218">
        <f ca="1">FORECAST(B21, OFFSET(Design!$C$19:$C$21,MATCH(B21,Design!$B$19:$B$21,1)-1,0,2), OFFSET(Design!$B$19:$B$21,MATCH(B21,Design!$B$19:$B$21,1)-1,0,2))+(Y21-25)*Design!$B$22/1000</f>
        <v>0.30528911303106104</v>
      </c>
      <c r="D21" s="250">
        <f t="shared" ca="1" si="53"/>
        <v>0.86441764239727747</v>
      </c>
      <c r="E21" s="218">
        <f>MAX(0,(1-1.844*Efficiency!$C$2/RNG))</f>
        <v>0.60485714285714287</v>
      </c>
      <c r="F21" s="126">
        <f>IF($C$2&lt;=Vin_mode,MAX(Efficiency!$C$2*E21/(Fsw*Lo),(Efficiency!$C$2*E21/(Fsw*Lo)+(Efficiency!$C$2-Vout_typ)*(1.844*Vout_typ/RNG-E21)/(Fsw*Lo))),IF(K21="DCM",D21*($C$2-Vout_typ)/(Lo*IF($C$2&lt;=18,Fsw,1.5*Fsw-$C$2/36*Fsw)),D21*($C$2-(Vout_typ+1*C21)-(L21-F21/2)*(Z21+LoDCR)/1000)/(Lo*IF($C$2&lt;=18,Fsw,1.5*Fsw-$C$2/36*Fsw))))</f>
        <v>0.27493506493506492</v>
      </c>
      <c r="G21" s="126">
        <f t="shared" ca="1" si="54"/>
        <v>0.2734553647763508</v>
      </c>
      <c r="H21" s="126">
        <f t="shared" ca="1" si="55"/>
        <v>0.16839755300741391</v>
      </c>
      <c r="I21" s="218">
        <f t="shared" ca="1" si="56"/>
        <v>0.82362211418062781</v>
      </c>
      <c r="J21" s="218">
        <f t="shared" ca="1" si="57"/>
        <v>6.8759650657247304E-2</v>
      </c>
      <c r="K21" s="218" t="str">
        <f t="shared" ca="1" si="58"/>
        <v>CCM</v>
      </c>
      <c r="L21" s="126">
        <f t="shared" ca="1" si="59"/>
        <v>1.5656063647940848</v>
      </c>
      <c r="M21" s="126">
        <f>$C$2*Constants!$C$20/1000</f>
        <v>2.7E-2</v>
      </c>
      <c r="N21" s="126">
        <f>0.5*$C$2*IF($C$2&lt;=18,Fsw,1.5*Fsw-$C$2/36*Fsw)*($C$2/Constants!$C$25+$C$2/Constants!$C$26)*10^-3*IF($C$2&lt;=Vin_mode,$B21/(1-Efficiency!E21),$B21)</f>
        <v>1.3362255965292842E-2</v>
      </c>
      <c r="O21" s="218">
        <f ca="1">0.5*(Vout_typ+$C21)*IF($C$2&lt;=18,Fsw,1.5*Fsw-$C$2/36*Fsw)*((Vout_typ+$C21)/Constants!$C$25+(Vout_typ+$C21)/Constants!$C$26)*10^-3*IF($C$2&lt;=Vin_mode,$B21/(1-E21),0)</f>
        <v>5.6101024207497442E-2</v>
      </c>
      <c r="P21" s="218">
        <f t="shared" ca="1" si="60"/>
        <v>0.33152707164092748</v>
      </c>
      <c r="Q21" s="126">
        <f t="shared" ca="1" si="61"/>
        <v>4.5597898246246701E-2</v>
      </c>
      <c r="R21" s="126">
        <f>IF($C$2&lt;=Vin_mode,Fsw*$C$2*Qg_boost/1000,0)+Constants!$D$24*$C$2*IF(Efficiency!$C$2&lt;=18,Fsw,1.5*Fsw-Efficiency!$C$2/36*Fsw)/1000</f>
        <v>2.8080000000000001E-2</v>
      </c>
      <c r="S21" s="126">
        <f t="shared" ca="1" si="88"/>
        <v>0.39996932760622034</v>
      </c>
      <c r="T21" s="126">
        <f t="shared" ca="1" si="62"/>
        <v>6.2850916239992852E-2</v>
      </c>
      <c r="U21" s="126">
        <f t="shared" ca="1" si="63"/>
        <v>0.18317346781863661</v>
      </c>
      <c r="V21" s="126">
        <f>IF($C$2&gt;(5+Design!$B$26),0,Vout_typ*Constants!$D$24*Fsw/1000)</f>
        <v>0</v>
      </c>
      <c r="W21" s="126">
        <f ca="1">(B21/(1-E21))^2*LoDCR/1000*(1+(Y21-25)*Constants!C$31/100)</f>
        <v>0.11933694544338451</v>
      </c>
      <c r="X21" s="126">
        <f>IF(Snubber=1,0.5*Snubber!$B$16/1000000000000*$C$2^2*Fsw*1000000,0)</f>
        <v>0</v>
      </c>
      <c r="Y21" s="127">
        <f ca="1">S21*Design!$C$13+A21</f>
        <v>99.798865121430154</v>
      </c>
      <c r="Z21" s="127">
        <f ca="1">Constants!$D$21+Constants!$D$21*Constants!$C$22/100*(Y21-25)</f>
        <v>163.48118856182256</v>
      </c>
      <c r="AA21" s="127">
        <f ca="1">Rds_boost_max+Constants!$C$22*Rds_boost_max/100*(Y21-25)</f>
        <v>32.696237712364514</v>
      </c>
      <c r="AB21" s="126">
        <f t="shared" ca="1" si="64"/>
        <v>0.86702957956197835</v>
      </c>
      <c r="AC21" s="126">
        <f t="shared" si="65"/>
        <v>7.1932867132867147</v>
      </c>
      <c r="AD21" s="219">
        <f t="shared" ca="1" si="66"/>
        <v>89.243231306800851</v>
      </c>
      <c r="AE21" s="270">
        <f t="shared" si="89"/>
        <v>0.6</v>
      </c>
      <c r="AF21" s="220">
        <f ca="1">FORECAST(AE21, OFFSET(Design!$C$19:$C$21,MATCH(AE21,Design!$B$19:$B$21,1)-1,0,2), OFFSET(Design!$B$19:$B$21,MATCH(AE21,Design!$B$19:$B$21,1)-1,0,2))+(BB21-25)*Design!$B$22/1000</f>
        <v>0.31082691750935765</v>
      </c>
      <c r="AG21" s="258">
        <f t="shared" ca="1" si="67"/>
        <v>0.82468377900860446</v>
      </c>
      <c r="AH21" s="220">
        <f>MAX(0,(1-1.844*Efficiency!$AF$2/RNG))</f>
        <v>0.20971428571428574</v>
      </c>
      <c r="AI21" s="128">
        <f>IF($AF$2&lt;=Vin_mode,MAX(Efficiency!$AF$2*AH21/(Fsw*Lo),(Efficiency!$AF$2*AH21/(Fsw*Lo)+(Efficiency!$AF$2-Vout_typ)*(1.844*Vout_typ/RNG-AH21)/(Fsw*Lo))),IF(AN21="DCM",AG21*($AF$2-Vout_typ)/(Lo*IF($AF$2&lt;=18,Fsw,1.5*Fsw-$AF$2/36*Fsw)),AG21*($AF$2-(Vout_typ+1*AF21)-(AO21-AI21/2)*(BC21+LoDCR)/1000)/(Lo*IF($AF$2&lt;=18,Fsw,1.5*Fsw-$AF$2/36*Fsw))))</f>
        <v>0.19114084000339554</v>
      </c>
      <c r="AJ21" s="128">
        <f t="shared" ca="1" si="68"/>
        <v>0.19030129948281918</v>
      </c>
      <c r="AK21" s="128">
        <f t="shared" ca="1" si="69"/>
        <v>0.17484767318960009</v>
      </c>
      <c r="AL21" s="220">
        <f t="shared" ca="1" si="70"/>
        <v>0.81702899610310253</v>
      </c>
      <c r="AM21" s="220">
        <f t="shared" ca="1" si="71"/>
        <v>0.12760455600701898</v>
      </c>
      <c r="AN21" s="220" t="str">
        <f t="shared" ca="1" si="90"/>
        <v>CCM</v>
      </c>
      <c r="AO21" s="128">
        <f t="shared" ca="1" si="73"/>
        <v>0.78042033877671857</v>
      </c>
      <c r="AP21" s="128">
        <f>$AF$2*Constants!$C$20/1000</f>
        <v>5.3999999999999999E-2</v>
      </c>
      <c r="AQ21" s="128">
        <f>0.5*$AF$2*IF($AF$2&lt;=18,Fsw,1.5*Fsw-$AF$2/36*Fsw)*($AF$2/Constants!$C$25+$AF$2/Constants!$C$26)*10^-3*IF($AF$2&lt;=Vin_mode,$AE21/(1-Efficiency!AH21),$AE21)</f>
        <v>2.6724511930585684E-2</v>
      </c>
      <c r="AR21" s="220">
        <f ca="1">0.5*(Vout_typ+$AF21)*IF($AF$2&lt;=18,Fsw,1.5*Fsw-$AF$2/36*Fsw)*((Vout_typ+$AF21)/Constants!$C$25+(Vout_typ+$AF21)/Constants!$C$26)*10^-3*IF($AF$2&lt;=Vin_mode,$AE21/(1-AH21),0)</f>
        <v>2.807578816841852E-2</v>
      </c>
      <c r="AS21" s="220">
        <f t="shared" ca="1" si="74"/>
        <v>7.5996826543992549E-2</v>
      </c>
      <c r="AT21" s="128">
        <f t="shared" ca="1" si="91"/>
        <v>3.8327330668894576E-3</v>
      </c>
      <c r="AU21" s="128">
        <f>IF($AF$2&lt;=Vin_mode,Fsw*$AF$2*Qg_boost/1000,0)+Constants!$D$24*$AF$2*IF(Efficiency!$AF$2&lt;=18,Fsw,1.5*Fsw-Efficiency!$AF$2/36*Fsw)/1000</f>
        <v>5.6160000000000002E-2</v>
      </c>
      <c r="AV21" s="128">
        <f t="shared" ca="1" si="92"/>
        <v>0.21288133847457824</v>
      </c>
      <c r="AW21" s="128">
        <f t="shared" ca="1" si="93"/>
        <v>4.1372126238721663E-2</v>
      </c>
      <c r="AX21" s="128">
        <f t="shared" ca="1" si="94"/>
        <v>0.18649615050561458</v>
      </c>
      <c r="AY21" s="128">
        <f>IF($AF$2&gt;(5+Design!$B$26),0,Vout_typ*Constants!$D$24*Fsw/1000)</f>
        <v>0</v>
      </c>
      <c r="AZ21" s="128">
        <f ca="1">(AE21/(1-AH21))^2*LoDCR/1000*(1+(BB9-25)*Constants!C$31/100)</f>
        <v>2.370081870172815E-2</v>
      </c>
      <c r="BA21" s="128">
        <f>IF(Snubber=1,0.5*Snubber!$B$16/1000000000000*$AF$2^2*Fsw*1000000,0)</f>
        <v>0</v>
      </c>
      <c r="BB21" s="129">
        <f ca="1">AV21*Design!$C$13+A21</f>
        <v>92.876609523559395</v>
      </c>
      <c r="BC21" s="129">
        <f ca="1">Constants!$D$21+Constants!$D$21*Constants!$C$22/100*(BB21-25)</f>
        <v>158.53177580934496</v>
      </c>
      <c r="BD21" s="129">
        <f ca="1">Rds_boost_max+Constants!$C$22*Rds_boost_max/100*(BB21-25)</f>
        <v>31.706355161868995</v>
      </c>
      <c r="BE21" s="128">
        <f t="shared" ca="1" si="95"/>
        <v>0.49635895515595063</v>
      </c>
      <c r="BF21" s="128">
        <f t="shared" si="75"/>
        <v>7.1932867132867147</v>
      </c>
      <c r="BG21" s="285">
        <f t="shared" ca="1" si="104"/>
        <v>93.545099780176542</v>
      </c>
      <c r="BH21" s="284">
        <f t="shared" si="97"/>
        <v>0.6</v>
      </c>
      <c r="BI21" s="272">
        <f ca="1">FORECAST(BH21, OFFSET(Design!$C$19:$C$21,MATCH(BH21,Design!$B$19:$B$21,1)-1,0,2), OFFSET(Design!$B$19:$B$21,MATCH(BH21,Design!$B$19:$B$21,1)-1,0,2))+(CE21-25)*Design!$B$22/1000</f>
        <v>0.31049161374987044</v>
      </c>
      <c r="BJ21" s="272">
        <f t="shared" ca="1" si="77"/>
        <v>0.62496532077568823</v>
      </c>
      <c r="BK21" s="272">
        <f>MAX(0,(1-1.844*Efficiency!$BI$2/RNG))</f>
        <v>0</v>
      </c>
      <c r="BL21" s="130">
        <f ca="1">IF($BI$2&lt;=Vin_mode,MAX(Efficiency!$BI$2*BK21/(Fsw*Lo),(Efficiency!$BI$2*BK21/(Fsw*Lo)+(Efficiency!$BI$2-Vout_typ)*(1.844*Vout_typ/RNG-BK21)/(Fsw*Lo))),IF(BQ21="DCM",BJ21*($BI$2-Vout_typ)/(Lo*IF($BI$2&lt;=18,Fsw,1.5*Fsw-$BI$2/36*Fsw)),BJ21*($BI$2-(Vout_typ+1*BI21)-(BR21-BL21/2)*(CF21+LoDCR)/1000)/(Lo*IF($BI$2&lt;=18,Fsw,1.5*Fsw-$BI$2/36*Fsw))))</f>
        <v>0.38006238259147618</v>
      </c>
      <c r="BM21" s="130">
        <f t="shared" si="78"/>
        <v>0</v>
      </c>
      <c r="BN21" s="130">
        <f t="shared" ca="1" si="79"/>
        <v>0.38241162446272392</v>
      </c>
      <c r="BO21" s="221">
        <f t="shared" ca="1" si="80"/>
        <v>0.62215811996667703</v>
      </c>
      <c r="BP21" s="221">
        <f t="shared" ca="1" si="81"/>
        <v>0.19120581223136196</v>
      </c>
      <c r="BQ21" s="221" t="str">
        <f t="shared" ca="1" si="82"/>
        <v>CCM</v>
      </c>
      <c r="BR21" s="130">
        <f t="shared" ca="1" si="83"/>
        <v>0.79003119129573807</v>
      </c>
      <c r="BS21" s="130">
        <f>$BI$2*Constants!$C$20/1000</f>
        <v>0.09</v>
      </c>
      <c r="BT21" s="130">
        <f>0.5*$BI$2*IF($BI$2&lt;=18,Fsw,1.5*Fsw-$BI$2/36*Fsw)*($BI$2/Constants!$C$25+$BI$2/Constants!$C$26)*10^-3*IF($BI$2&lt;=Vin_mode,$BH21/(1-Efficiency!BK21),$BH21)</f>
        <v>5.5407407407407412E-2</v>
      </c>
      <c r="BU21" s="221">
        <f ca="1">0.5*(Vout_typ+$BI21)*IF($BI$2&lt;=18,Fsw,1.5*Fsw-$BI$2/36*Fsw)*((Vout_typ+$BI21)/Constants!$C$25+(Vout_typ+$BI21)/Constants!$C$26)*10^-3*IF($BI$2&lt;=Vin_mode,$BH21/(1-BK21),0)</f>
        <v>0</v>
      </c>
      <c r="BV21" s="221">
        <f t="shared" ca="1" si="84"/>
        <v>3.5735094112909108E-2</v>
      </c>
      <c r="BW21" s="130">
        <f t="shared" ca="1" si="98"/>
        <v>0</v>
      </c>
      <c r="BX21" s="130">
        <f>IF($BI$2&lt;=Vin_mode,Fsw*$BI$2*Qg_boost/1000,0)+Constants!$D$24*$BI$2*IF(Efficiency!$BI$2&lt;=18,Fsw,1.5*Fsw-Efficiency!$BI$2/36*Fsw)/1000</f>
        <v>4.3066666666666677E-2</v>
      </c>
      <c r="BY21" s="130">
        <f t="shared" ca="1" si="99"/>
        <v>0.22420916818698319</v>
      </c>
      <c r="BZ21" s="130">
        <f t="shared" ca="1" si="100"/>
        <v>6.9867073658712933E-2</v>
      </c>
      <c r="CA21" s="130">
        <f t="shared" ca="1" si="101"/>
        <v>0.18629496824992225</v>
      </c>
      <c r="CB21" s="130">
        <f>IF($BI$2&gt;(5+Design!$B$26),0,Vout_typ*Constants!$D$24*Fsw/1000)</f>
        <v>0</v>
      </c>
      <c r="CC21" s="130">
        <f ca="1">(BH21/(1-BK21))^2*LoDCR/1000*(1+(CE21-25)*Constants!C$31/100)</f>
        <v>1.8264992474103393E-2</v>
      </c>
      <c r="CD21" s="130">
        <f>IF(Snubber,0.5*Snubber!$B$16/1000000000000*$BI$2^2*IF($BI$2&lt;=18,Fsw,1.5*Fsw-$BI$2/36*Fsw)*1000000,0)</f>
        <v>0</v>
      </c>
      <c r="CE21" s="131">
        <f ca="1">BY21*Design!$C$13+A21</f>
        <v>93.295739222918371</v>
      </c>
      <c r="CF21" s="131">
        <f ca="1">Constants!$D$21+Constants!$D$21*Constants!$C$22/100*(CE21-25)</f>
        <v>158.83145354438665</v>
      </c>
      <c r="CG21" s="131">
        <f ca="1">Rds_boost_max+Constants!$C$22*Rds_boost_max/100*(CE21-25)</f>
        <v>31.766290708877328</v>
      </c>
      <c r="CH21" s="130">
        <f t="shared" ca="1" si="102"/>
        <v>0.4986362025697218</v>
      </c>
      <c r="CI21" s="130">
        <f t="shared" si="85"/>
        <v>7.1932867132867147</v>
      </c>
      <c r="CJ21" s="286">
        <f t="shared" ca="1" si="105"/>
        <v>93.517405101111791</v>
      </c>
    </row>
    <row r="22" spans="1:88" ht="12.75" customHeight="1" thickBot="1" x14ac:dyDescent="0.3">
      <c r="A22" s="95">
        <f>Design!$D$14</f>
        <v>85</v>
      </c>
      <c r="B22" s="217">
        <f t="shared" si="87"/>
        <v>0.7</v>
      </c>
      <c r="C22" s="218">
        <f ca="1">FORECAST(B22, OFFSET(Design!$C$19:$C$21,MATCH(B22,Design!$B$19:$B$21,1)-1,0,2), OFFSET(Design!$B$19:$B$21,MATCH(B22,Design!$B$19:$B$21,1)-1,0,2))+(Y22-25)*Design!$B$22/1000</f>
        <v>0.30950341509502993</v>
      </c>
      <c r="D22" s="250">
        <f t="shared" ca="1" si="53"/>
        <v>0.87409514479713057</v>
      </c>
      <c r="E22" s="218">
        <f>MAX(0,(1-1.844*Efficiency!$C$2/RNG))</f>
        <v>0.60485714285714287</v>
      </c>
      <c r="F22" s="126">
        <f>IF($C$2&lt;=Vin_mode,MAX(Efficiency!$C$2*E22/(Fsw*Lo),(Efficiency!$C$2*E22/(Fsw*Lo)+(Efficiency!$C$2-Vout_typ)*(1.844*Vout_typ/RNG-E22)/(Fsw*Lo))),IF(K22="DCM",D22*($C$2-Vout_typ)/(Lo*IF($C$2&lt;=18,Fsw,1.5*Fsw-$C$2/36*Fsw)),D22*($C$2-(Vout_typ+1*C22)-(L22-F22/2)*(Z22+LoDCR)/1000)/(Lo*IF($C$2&lt;=18,Fsw,1.5*Fsw-$C$2/36*Fsw))))</f>
        <v>0.27493506493506492</v>
      </c>
      <c r="G22" s="126">
        <f t="shared" ca="1" si="54"/>
        <v>0.2734286956123666</v>
      </c>
      <c r="H22" s="126">
        <f t="shared" ca="1" si="55"/>
        <v>0.16806439206537471</v>
      </c>
      <c r="I22" s="218">
        <f t="shared" ca="1" si="56"/>
        <v>0.82408861841657721</v>
      </c>
      <c r="J22" s="218">
        <f t="shared" ca="1" si="57"/>
        <v>7.0013419872210075E-2</v>
      </c>
      <c r="K22" s="218" t="str">
        <f t="shared" ca="1" si="58"/>
        <v>CCM</v>
      </c>
      <c r="L22" s="126">
        <f t="shared" ca="1" si="59"/>
        <v>1.8153126566858073</v>
      </c>
      <c r="M22" s="126">
        <f>$C$2*Constants!$C$20/1000</f>
        <v>2.7E-2</v>
      </c>
      <c r="N22" s="126">
        <f>0.5*$C$2*IF($C$2&lt;=18,Fsw,1.5*Fsw-$C$2/36*Fsw)*($C$2/Constants!$C$25+$C$2/Constants!$C$26)*10^-3*IF($C$2&lt;=Vin_mode,$B22/(1-Efficiency!E22),$B22)</f>
        <v>1.5589298626174981E-2</v>
      </c>
      <c r="O22" s="218">
        <f ca="1">0.5*(Vout_typ+$C22)*IF($C$2&lt;=18,Fsw,1.5*Fsw-$C$2/36*Fsw)*((Vout_typ+$C22)/Constants!$C$25+(Vout_typ+$C22)/Constants!$C$26)*10^-3*IF($C$2&lt;=Vin_mode,$B22/(1-E22),0)</f>
        <v>6.5496074708842278E-2</v>
      </c>
      <c r="P22" s="218">
        <f t="shared" ca="1" si="60"/>
        <v>0.46412523645164316</v>
      </c>
      <c r="Q22" s="126">
        <f t="shared" ca="1" si="61"/>
        <v>6.3417902026683834E-2</v>
      </c>
      <c r="R22" s="126">
        <f>IF($C$2&lt;=Vin_mode,Fsw*$C$2*Qg_boost/1000,0)+Constants!$D$24*$C$2*IF(Efficiency!$C$2&lt;=18,Fsw,1.5*Fsw-Efficiency!$C$2/36*Fsw)/1000</f>
        <v>2.8080000000000001E-2</v>
      </c>
      <c r="S22" s="126">
        <f t="shared" ca="1" si="88"/>
        <v>0.53479453507781816</v>
      </c>
      <c r="T22" s="126">
        <f t="shared" ca="1" si="62"/>
        <v>6.903221802076405E-2</v>
      </c>
      <c r="U22" s="126">
        <f t="shared" ca="1" si="63"/>
        <v>0.21665239056652094</v>
      </c>
      <c r="V22" s="126">
        <f>IF($C$2&gt;(5+Design!$B$26),0,Vout_typ*Constants!$D$24*Fsw/1000)</f>
        <v>0</v>
      </c>
      <c r="W22" s="126">
        <f ca="1">(B22/(1-E22))^2*LoDCR/1000*(1+(Y22-25)*Constants!C$31/100)</f>
        <v>0.16489185123681596</v>
      </c>
      <c r="X22" s="126">
        <f>IF(Snubber=1,0.5*Snubber!$B$16/1000000000000*$C$2^2*Fsw*1000000,0)</f>
        <v>0</v>
      </c>
      <c r="Y22" s="127">
        <f ca="1">S22*Design!$C$13+A22</f>
        <v>104.78739779787927</v>
      </c>
      <c r="Z22" s="127">
        <f ca="1">Constants!$D$21+Constants!$D$21*Constants!$C$22/100*(Y22-25)</f>
        <v>167.04798942548368</v>
      </c>
      <c r="AA22" s="127">
        <f ca="1">Rds_boost_max+Constants!$C$22*Rds_boost_max/100*(Y22-25)</f>
        <v>33.409597885096737</v>
      </c>
      <c r="AB22" s="126">
        <f t="shared" ca="1" si="64"/>
        <v>1.1142849716374452</v>
      </c>
      <c r="AC22" s="126">
        <f t="shared" si="65"/>
        <v>8.3921678321678339</v>
      </c>
      <c r="AD22" s="219">
        <f t="shared" ca="1" si="66"/>
        <v>88.278646150839606</v>
      </c>
      <c r="AE22" s="270">
        <f t="shared" si="89"/>
        <v>0.7</v>
      </c>
      <c r="AF22" s="220">
        <f ca="1">FORECAST(AE22, OFFSET(Design!$C$19:$C$21,MATCH(AE22,Design!$B$19:$B$21,1)-1,0,2), OFFSET(Design!$B$19:$B$21,MATCH(AE22,Design!$B$19:$B$21,1)-1,0,2))+(BB22-25)*Design!$B$22/1000</f>
        <v>0.31806894322273987</v>
      </c>
      <c r="AG22" s="258">
        <f t="shared" ca="1" si="67"/>
        <v>0.82714433706841961</v>
      </c>
      <c r="AH22" s="220">
        <f>MAX(0,(1-1.844*Efficiency!$AF$2/RNG))</f>
        <v>0.20971428571428574</v>
      </c>
      <c r="AI22" s="128">
        <f>IF($AF$2&lt;=Vin_mode,MAX(Efficiency!$AF$2*AH22/(Fsw*Lo),(Efficiency!$AF$2*AH22/(Fsw*Lo)+(Efficiency!$AF$2-Vout_typ)*(1.844*Vout_typ/RNG-AH22)/(Fsw*Lo))),IF(AN22="DCM",AG22*($AF$2-Vout_typ)/(Lo*IF($AF$2&lt;=18,Fsw,1.5*Fsw-$AF$2/36*Fsw)),AG22*($AF$2-(Vout_typ+1*AF22)-(AO22-AI22/2)*(BC22+LoDCR)/1000)/(Lo*IF($AF$2&lt;=18,Fsw,1.5*Fsw-$AF$2/36*Fsw))))</f>
        <v>0.19114084000339554</v>
      </c>
      <c r="AJ22" s="128">
        <f t="shared" ca="1" si="68"/>
        <v>0.19029974086902185</v>
      </c>
      <c r="AK22" s="128">
        <f t="shared" ca="1" si="69"/>
        <v>0.17449220949822464</v>
      </c>
      <c r="AL22" s="220">
        <f t="shared" ca="1" si="70"/>
        <v>0.81761030163200143</v>
      </c>
      <c r="AM22" s="220">
        <f t="shared" ca="1" si="71"/>
        <v>0.12769773959901776</v>
      </c>
      <c r="AN22" s="220" t="str">
        <f t="shared" ca="1" si="90"/>
        <v>CCM</v>
      </c>
      <c r="AO22" s="128">
        <f t="shared" ca="1" si="73"/>
        <v>0.90665929467503636</v>
      </c>
      <c r="AP22" s="128">
        <f>$AF$2*Constants!$C$20/1000</f>
        <v>5.3999999999999999E-2</v>
      </c>
      <c r="AQ22" s="128">
        <f>0.5*$AF$2*IF($AF$2&lt;=18,Fsw,1.5*Fsw-$AF$2/36*Fsw)*($AF$2/Constants!$C$25+$AF$2/Constants!$C$26)*10^-3*IF($AF$2&lt;=Vin_mode,$AE22/(1-Efficiency!AH22),$AE22)</f>
        <v>3.1178597252349963E-2</v>
      </c>
      <c r="AR22" s="220">
        <f ca="1">0.5*(Vout_typ+$AF22)*IF($AF$2&lt;=18,Fsw,1.5*Fsw-$AF$2/36*Fsw)*((Vout_typ+$AF22)/Constants!$C$25+(Vout_typ+$AF22)/Constants!$C$26)*10^-3*IF($AF$2&lt;=Vin_mode,$AE22/(1-AH22),0)</f>
        <v>3.2793669935290252E-2</v>
      </c>
      <c r="AS22" s="220">
        <f t="shared" ca="1" si="74"/>
        <v>0.10407998756499784</v>
      </c>
      <c r="AT22" s="128">
        <f t="shared" ca="1" si="91"/>
        <v>5.2451008548798353E-3</v>
      </c>
      <c r="AU22" s="128">
        <f>IF($AF$2&lt;=Vin_mode,Fsw*$AF$2*Qg_boost/1000,0)+Constants!$D$24*$AF$2*IF(Efficiency!$AF$2&lt;=18,Fsw,1.5*Fsw-Efficiency!$AF$2/36*Fsw)/1000</f>
        <v>5.6160000000000002E-2</v>
      </c>
      <c r="AV22" s="128">
        <f t="shared" ca="1" si="92"/>
        <v>0.2454185848173478</v>
      </c>
      <c r="AW22" s="128">
        <f t="shared" ca="1" si="93"/>
        <v>4.8698859072613537E-2</v>
      </c>
      <c r="AX22" s="128">
        <f t="shared" ca="1" si="94"/>
        <v>0.22264826025591791</v>
      </c>
      <c r="AY22" s="128">
        <f>IF($AF$2&gt;(5+Design!$B$26),0,Vout_typ*Constants!$D$24*Fsw/1000)</f>
        <v>0</v>
      </c>
      <c r="AZ22" s="128">
        <f ca="1">(AE22/(1-AH22))^2*LoDCR/1000*(1+(BB10-25)*Constants!C$31/100)</f>
        <v>3.2372929034449605E-2</v>
      </c>
      <c r="BA22" s="128">
        <f>IF(Snubber=1,0.5*Snubber!$B$16/1000000000000*$AF$2^2*Fsw*1000000,0)</f>
        <v>0</v>
      </c>
      <c r="BB22" s="129">
        <f ca="1">AV22*Design!$C$13+A22</f>
        <v>94.080487638241863</v>
      </c>
      <c r="BC22" s="129">
        <f ca="1">Constants!$D$21+Constants!$D$21*Constants!$C$22/100*(BB22-25)</f>
        <v>159.39254866134291</v>
      </c>
      <c r="BD22" s="129">
        <f ca="1">Rds_boost_max+Constants!$C$22*Rds_boost_max/100*(BB22-25)</f>
        <v>31.87850973226859</v>
      </c>
      <c r="BE22" s="128">
        <f t="shared" ca="1" si="95"/>
        <v>0.58717740397049878</v>
      </c>
      <c r="BF22" s="128">
        <f t="shared" si="75"/>
        <v>8.3921678321678339</v>
      </c>
      <c r="BG22" s="285">
        <f t="shared" ca="1" si="104"/>
        <v>93.460799328581999</v>
      </c>
      <c r="BH22" s="284">
        <f t="shared" si="97"/>
        <v>0.7</v>
      </c>
      <c r="BI22" s="272">
        <f ca="1">FORECAST(BH22, OFFSET(Design!$C$19:$C$21,MATCH(BH22,Design!$B$19:$B$21,1)-1,0,2), OFFSET(Design!$B$19:$B$21,MATCH(BH22,Design!$B$19:$B$21,1)-1,0,2))+(CE22-25)*Design!$B$22/1000</f>
        <v>0.31803324503469582</v>
      </c>
      <c r="BJ22" s="272">
        <f t="shared" ca="1" si="77"/>
        <v>0.62618056935781585</v>
      </c>
      <c r="BK22" s="272">
        <f>MAX(0,(1-1.844*Efficiency!$BI$2/RNG))</f>
        <v>0</v>
      </c>
      <c r="BL22" s="130">
        <f ca="1">IF($BI$2&lt;=Vin_mode,MAX(Efficiency!$BI$2*BK22/(Fsw*Lo),(Efficiency!$BI$2*BK22/(Fsw*Lo)+(Efficiency!$BI$2-Vout_typ)*(1.844*Vout_typ/RNG-BK22)/(Fsw*Lo))),IF(BQ22="DCM",BJ22*($BI$2-Vout_typ)/(Lo*IF($BI$2&lt;=18,Fsw,1.5*Fsw-$BI$2/36*Fsw)),BJ22*($BI$2-(Vout_typ+1*BI22)-(BR22-BL22/2)*(CF22+LoDCR)/1000)/(Lo*IF($BI$2&lt;=18,Fsw,1.5*Fsw-$BI$2/36*Fsw))))</f>
        <v>0.37940306389606998</v>
      </c>
      <c r="BM22" s="130">
        <f t="shared" si="78"/>
        <v>0</v>
      </c>
      <c r="BN22" s="130">
        <f t="shared" ca="1" si="79"/>
        <v>0.38234642540617303</v>
      </c>
      <c r="BO22" s="221">
        <f t="shared" ca="1" si="80"/>
        <v>0.62267356804178808</v>
      </c>
      <c r="BP22" s="221">
        <f t="shared" ca="1" si="81"/>
        <v>0.19117321270308651</v>
      </c>
      <c r="BQ22" s="221" t="str">
        <f t="shared" ca="1" si="82"/>
        <v>CCM</v>
      </c>
      <c r="BR22" s="130">
        <f t="shared" ca="1" si="83"/>
        <v>0.88970153194803492</v>
      </c>
      <c r="BS22" s="130">
        <f>$BI$2*Constants!$C$20/1000</f>
        <v>0.09</v>
      </c>
      <c r="BT22" s="130">
        <f>0.5*$BI$2*IF($BI$2&lt;=18,Fsw,1.5*Fsw-$BI$2/36*Fsw)*($BI$2/Constants!$C$25+$BI$2/Constants!$C$26)*10^-3*IF($BI$2&lt;=Vin_mode,$BH22/(1-Efficiency!BK22),$BH22)</f>
        <v>6.4641975308641977E-2</v>
      </c>
      <c r="BU22" s="221">
        <f ca="1">0.5*(Vout_typ+$BI22)*IF($BI$2&lt;=18,Fsw,1.5*Fsw-$BI$2/36*Fsw)*((Vout_typ+$BI22)/Constants!$C$25+(Vout_typ+$BI22)/Constants!$C$26)*10^-3*IF($BI$2&lt;=Vin_mode,$BH22/(1-BK22),0)</f>
        <v>0</v>
      </c>
      <c r="BV22" s="221">
        <f t="shared" ca="1" si="84"/>
        <v>4.8915962708391457E-2</v>
      </c>
      <c r="BW22" s="130">
        <f t="shared" ca="1" si="98"/>
        <v>0</v>
      </c>
      <c r="BX22" s="130">
        <f>IF($BI$2&lt;=Vin_mode,Fsw*$BI$2*Qg_boost/1000,0)+Constants!$D$24*$BI$2*IF(Efficiency!$BI$2&lt;=18,Fsw,1.5*Fsw-Efficiency!$BI$2/36*Fsw)/1000</f>
        <v>4.3066666666666677E-2</v>
      </c>
      <c r="BY22" s="130">
        <f t="shared" ca="1" si="99"/>
        <v>0.24662460468370012</v>
      </c>
      <c r="BZ22" s="130">
        <f t="shared" ca="1" si="100"/>
        <v>8.3220904608909366E-2</v>
      </c>
      <c r="CA22" s="130">
        <f t="shared" ca="1" si="101"/>
        <v>0.22262327152428707</v>
      </c>
      <c r="CB22" s="130">
        <f>IF($BI$2&gt;(5+Design!$B$26),0,Vout_typ*Constants!$D$24*Fsw/1000)</f>
        <v>0</v>
      </c>
      <c r="CC22" s="130">
        <f ca="1">(BH22/(1-BK22))^2*LoDCR/1000*(1+(CE22-25)*Constants!C$31/100)</f>
        <v>2.4924569001834315E-2</v>
      </c>
      <c r="CD22" s="130">
        <f>IF(Snubber,0.5*Snubber!$B$16/1000000000000*$BI$2^2*IF($BI$2&lt;=18,Fsw,1.5*Fsw-$BI$2/36*Fsw)*1000000,0)</f>
        <v>0</v>
      </c>
      <c r="CE22" s="131">
        <f ca="1">BY22*Design!$C$13+A22</f>
        <v>94.125110373296906</v>
      </c>
      <c r="CF22" s="131">
        <f ca="1">Constants!$D$21+Constants!$D$21*Constants!$C$22/100*(CE22-25)</f>
        <v>159.42445391690728</v>
      </c>
      <c r="CG22" s="131">
        <f ca="1">Rds_boost_max+Constants!$C$22*Rds_boost_max/100*(CE22-25)</f>
        <v>31.884890783381458</v>
      </c>
      <c r="CH22" s="130">
        <f t="shared" ca="1" si="102"/>
        <v>0.57739334981873081</v>
      </c>
      <c r="CI22" s="130">
        <f t="shared" si="85"/>
        <v>8.3921678321678339</v>
      </c>
      <c r="CJ22" s="286">
        <f t="shared" ca="1" si="105"/>
        <v>93.562746960483395</v>
      </c>
    </row>
    <row r="23" spans="1:88" ht="12.75" customHeight="1" thickBot="1" x14ac:dyDescent="0.3">
      <c r="A23" s="95">
        <f>Design!$D$14</f>
        <v>85</v>
      </c>
      <c r="B23" s="217">
        <f t="shared" si="87"/>
        <v>0.79999999999999993</v>
      </c>
      <c r="C23" s="218">
        <f ca="1">FORECAST(B23, OFFSET(Design!$C$19:$C$21,MATCH(B23,Design!$B$19:$B$21,1)-1,0,2), OFFSET(Design!$B$19:$B$21,MATCH(B23,Design!$B$19:$B$21,1)-1,0,2))+(Y23-25)*Design!$B$22/1000</f>
        <v>0.31280489705051373</v>
      </c>
      <c r="D23" s="250">
        <f t="shared" ca="1" si="53"/>
        <v>0.88438810605503548</v>
      </c>
      <c r="E23" s="218">
        <f>MAX(0,(1-1.844*Efficiency!$C$2/RNG))</f>
        <v>0.60485714285714287</v>
      </c>
      <c r="F23" s="126">
        <f>IF($C$2&lt;=Vin_mode,MAX(Efficiency!$C$2*E23/(Fsw*Lo),(Efficiency!$C$2*E23/(Fsw*Lo)+(Efficiency!$C$2-Vout_typ)*(1.844*Vout_typ/RNG-E23)/(Fsw*Lo))),IF(K23="DCM",D23*($C$2-Vout_typ)/(Lo*IF($C$2&lt;=18,Fsw,1.5*Fsw-$C$2/36*Fsw)),D23*($C$2-(Vout_typ+1*C23)-(L23-F23/2)*(Z23+LoDCR)/1000)/(Lo*IF($C$2&lt;=18,Fsw,1.5*Fsw-$C$2/36*Fsw))))</f>
        <v>0.27493506493506492</v>
      </c>
      <c r="G23" s="126">
        <f t="shared" ca="1" si="54"/>
        <v>0.27339593354276398</v>
      </c>
      <c r="H23" s="126">
        <f t="shared" ca="1" si="55"/>
        <v>0.16776790868389915</v>
      </c>
      <c r="I23" s="218">
        <f t="shared" ca="1" si="56"/>
        <v>0.82449075536261374</v>
      </c>
      <c r="J23" s="218">
        <f t="shared" ca="1" si="57"/>
        <v>7.1357459705916865E-2</v>
      </c>
      <c r="K23" s="218" t="str">
        <f t="shared" ca="1" si="58"/>
        <v>CCM</v>
      </c>
      <c r="L23" s="126">
        <f t="shared" ca="1" si="59"/>
        <v>2.0648048345956567</v>
      </c>
      <c r="M23" s="126">
        <f>$C$2*Constants!$C$20/1000</f>
        <v>2.7E-2</v>
      </c>
      <c r="N23" s="126">
        <f>0.5*$C$2*IF($C$2&lt;=18,Fsw,1.5*Fsw-$C$2/36*Fsw)*($C$2/Constants!$C$25+$C$2/Constants!$C$26)*10^-3*IF($C$2&lt;=Vin_mode,$B23/(1-Efficiency!E23),$B23)</f>
        <v>1.7816341287057121E-2</v>
      </c>
      <c r="O23" s="218">
        <f ca="1">0.5*(Vout_typ+$C23)*IF($C$2&lt;=18,Fsw,1.5*Fsw-$C$2/36*Fsw)*((Vout_typ+$C23)/Constants!$C$25+(Vout_typ+$C23)/Constants!$C$26)*10^-3*IF($C$2&lt;=Vin_mode,$B23/(1-E23),0)</f>
        <v>7.4892850588528778E-2</v>
      </c>
      <c r="P23" s="218">
        <f t="shared" ca="1" si="60"/>
        <v>0.62756191844091058</v>
      </c>
      <c r="Q23" s="126">
        <f t="shared" ca="1" si="61"/>
        <v>8.5004695478879524E-2</v>
      </c>
      <c r="R23" s="126">
        <f>IF($C$2&lt;=Vin_mode,Fsw*$C$2*Qg_boost/1000,0)+Constants!$D$24*$C$2*IF(Efficiency!$C$2&lt;=18,Fsw,1.5*Fsw-Efficiency!$C$2/36*Fsw)/1000</f>
        <v>2.8080000000000001E-2</v>
      </c>
      <c r="S23" s="126">
        <f t="shared" ca="1" si="88"/>
        <v>0.70045825972796771</v>
      </c>
      <c r="T23" s="126">
        <f t="shared" ca="1" si="62"/>
        <v>7.3216996697870365E-2</v>
      </c>
      <c r="U23" s="126">
        <f t="shared" ca="1" si="63"/>
        <v>0.25024391764041098</v>
      </c>
      <c r="V23" s="126">
        <f>IF($C$2&gt;(5+Design!$B$26),0,Vout_typ*Constants!$D$24*Fsw/1000)</f>
        <v>0</v>
      </c>
      <c r="W23" s="126">
        <f ca="1">(B23/(1-E23))^2*LoDCR/1000*(1+(Y23-25)*Constants!C$31/100)</f>
        <v>0.21931855105955689</v>
      </c>
      <c r="X23" s="126">
        <f>IF(Snubber=1,0.5*Snubber!$B$16/1000000000000*$C$2^2*Fsw*1000000,0)</f>
        <v>0</v>
      </c>
      <c r="Y23" s="127">
        <f ca="1">S23*Design!$C$13+A23</f>
        <v>110.9169556099348</v>
      </c>
      <c r="Z23" s="127">
        <f ca="1">Constants!$D$21+Constants!$D$21*Constants!$C$22/100*(Y23-25)</f>
        <v>171.43062326110339</v>
      </c>
      <c r="AA23" s="127">
        <f ca="1">Rds_boost_max+Constants!$C$22*Rds_boost_max/100*(Y23-25)</f>
        <v>34.286124652220678</v>
      </c>
      <c r="AB23" s="126">
        <f t="shared" ca="1" si="64"/>
        <v>1.4031352711932144</v>
      </c>
      <c r="AC23" s="126">
        <f t="shared" si="65"/>
        <v>9.5910489510489523</v>
      </c>
      <c r="AD23" s="219">
        <f t="shared" ca="1" si="66"/>
        <v>87.237477171297968</v>
      </c>
      <c r="AE23" s="270">
        <f t="shared" si="89"/>
        <v>0.79999999999999993</v>
      </c>
      <c r="AF23" s="220">
        <f ca="1">FORECAST(AE23, OFFSET(Design!$C$19:$C$21,MATCH(AE23,Design!$B$19:$B$21,1)-1,0,2), OFFSET(Design!$B$19:$B$21,MATCH(AE23,Design!$B$19:$B$21,1)-1,0,2))+(BB23-25)*Design!$B$22/1000</f>
        <v>0.3251679243732622</v>
      </c>
      <c r="AG23" s="258">
        <f t="shared" ca="1" si="67"/>
        <v>0.82962315543977683</v>
      </c>
      <c r="AH23" s="220">
        <f>MAX(0,(1-1.844*Efficiency!$AF$2/RNG))</f>
        <v>0.20971428571428574</v>
      </c>
      <c r="AI23" s="128">
        <f>IF($AF$2&lt;=Vin_mode,MAX(Efficiency!$AF$2*AH23/(Fsw*Lo),(Efficiency!$AF$2*AH23/(Fsw*Lo)+(Efficiency!$AF$2-Vout_typ)*(1.844*Vout_typ/RNG-AH23)/(Fsw*Lo))),IF(AN23="DCM",AG23*($AF$2-Vout_typ)/(Lo*IF($AF$2&lt;=18,Fsw,1.5*Fsw-$AF$2/36*Fsw)),AG23*($AF$2-(Vout_typ+1*AF23)-(AO23-AI23/2)*(BC23+LoDCR)/1000)/(Lo*IF($AF$2&lt;=18,Fsw,1.5*Fsw-$AF$2/36*Fsw))))</f>
        <v>0.19114084000339554</v>
      </c>
      <c r="AJ23" s="128">
        <f t="shared" ca="1" si="68"/>
        <v>0.19029795079399026</v>
      </c>
      <c r="AK23" s="128">
        <f t="shared" ca="1" si="69"/>
        <v>0.17414165912464982</v>
      </c>
      <c r="AL23" s="220">
        <f t="shared" ca="1" si="70"/>
        <v>0.8181810332227345</v>
      </c>
      <c r="AM23" s="220">
        <f t="shared" ca="1" si="71"/>
        <v>0.12779452652800144</v>
      </c>
      <c r="AN23" s="220" t="str">
        <f t="shared" ca="1" si="90"/>
        <v>CCM</v>
      </c>
      <c r="AO23" s="128">
        <f t="shared" ca="1" si="73"/>
        <v>1.0328960423268785</v>
      </c>
      <c r="AP23" s="128">
        <f>$AF$2*Constants!$C$20/1000</f>
        <v>5.3999999999999999E-2</v>
      </c>
      <c r="AQ23" s="128">
        <f>0.5*$AF$2*IF($AF$2&lt;=18,Fsw,1.5*Fsw-$AF$2/36*Fsw)*($AF$2/Constants!$C$25+$AF$2/Constants!$C$26)*10^-3*IF($AF$2&lt;=Vin_mode,$AE23/(1-Efficiency!AH23),$AE23)</f>
        <v>3.5632682574114241E-2</v>
      </c>
      <c r="AR23" s="220">
        <f ca="1">0.5*(Vout_typ+$AF23)*IF($AF$2&lt;=18,Fsw,1.5*Fsw-$AF$2/36*Fsw)*((Vout_typ+$AF23)/Constants!$C$25+(Vout_typ+$AF23)/Constants!$C$26)*10^-3*IF($AF$2&lt;=Vin_mode,$AE23/(1-AH23),0)</f>
        <v>3.7521729840750737E-2</v>
      </c>
      <c r="AS23" s="220">
        <f t="shared" ca="1" si="74"/>
        <v>0.13699573516910665</v>
      </c>
      <c r="AT23" s="128">
        <f t="shared" ca="1" si="91"/>
        <v>6.8932351393005123E-3</v>
      </c>
      <c r="AU23" s="128">
        <f>IF($AF$2&lt;=Vin_mode,Fsw*$AF$2*Qg_boost/1000,0)+Constants!$D$24*$AF$2*IF(Efficiency!$AF$2&lt;=18,Fsw,1.5*Fsw-Efficiency!$AF$2/36*Fsw)/1000</f>
        <v>5.6160000000000002E-2</v>
      </c>
      <c r="AV23" s="128">
        <f t="shared" ca="1" si="92"/>
        <v>0.28278841774322089</v>
      </c>
      <c r="AW23" s="128">
        <f t="shared" ca="1" si="93"/>
        <v>5.6082081612204758E-2</v>
      </c>
      <c r="AX23" s="128">
        <f t="shared" ca="1" si="94"/>
        <v>0.26013433949860976</v>
      </c>
      <c r="AY23" s="128">
        <f>IF($AF$2&gt;(5+Design!$B$26),0,Vout_typ*Constants!$D$24*Fsw/1000)</f>
        <v>0</v>
      </c>
      <c r="AZ23" s="128">
        <f ca="1">(AE23/(1-AH23))^2*LoDCR/1000*(1+(BB11-25)*Constants!C$31/100)</f>
        <v>4.2452121022324471E-2</v>
      </c>
      <c r="BA23" s="128">
        <f>IF(Snubber=1,0.5*Snubber!$B$16/1000000000000*$AF$2^2*Fsw*1000000,0)</f>
        <v>0</v>
      </c>
      <c r="BB23" s="129">
        <f ca="1">AV23*Design!$C$13+A23</f>
        <v>95.463171456499168</v>
      </c>
      <c r="BC23" s="129">
        <f ca="1">Constants!$D$21+Constants!$D$21*Constants!$C$22/100*(BB23-25)</f>
        <v>160.38116759139689</v>
      </c>
      <c r="BD23" s="129">
        <f ca="1">Rds_boost_max+Constants!$C$22*Rds_boost_max/100*(BB23-25)</f>
        <v>32.076233518279381</v>
      </c>
      <c r="BE23" s="128">
        <f t="shared" ca="1" si="95"/>
        <v>0.68587192485641113</v>
      </c>
      <c r="BF23" s="128">
        <f t="shared" si="75"/>
        <v>9.5910489510489523</v>
      </c>
      <c r="BG23" s="285">
        <f t="shared" ca="1" si="104"/>
        <v>93.326095110214737</v>
      </c>
      <c r="BH23" s="284">
        <f t="shared" si="97"/>
        <v>0.79999999999999993</v>
      </c>
      <c r="BI23" s="272">
        <f ca="1">FORECAST(BH23, OFFSET(Design!$C$19:$C$21,MATCH(BH23,Design!$B$19:$B$21,1)-1,0,2), OFFSET(Design!$B$19:$B$21,MATCH(BH23,Design!$B$19:$B$21,1)-1,0,2))+(CE23-25)*Design!$B$22/1000</f>
        <v>0.32551038274810162</v>
      </c>
      <c r="BJ23" s="272">
        <f t="shared" ca="1" si="77"/>
        <v>0.62739760524544497</v>
      </c>
      <c r="BK23" s="272">
        <f>MAX(0,(1-1.844*Efficiency!$BI$2/RNG))</f>
        <v>0</v>
      </c>
      <c r="BL23" s="130">
        <f ca="1">IF($BI$2&lt;=Vin_mode,MAX(Efficiency!$BI$2*BK23/(Fsw*Lo),(Efficiency!$BI$2*BK23/(Fsw*Lo)+(Efficiency!$BI$2-Vout_typ)*(1.844*Vout_typ/RNG-BK23)/(Fsw*Lo))),IF(BQ23="DCM",BJ23*($BI$2-Vout_typ)/(Lo*IF($BI$2&lt;=18,Fsw,1.5*Fsw-$BI$2/36*Fsw)),BJ23*($BI$2-(Vout_typ+1*BI23)-(BR23-BL23/2)*(CF23+LoDCR)/1000)/(Lo*IF($BI$2&lt;=18,Fsw,1.5*Fsw-$BI$2/36*Fsw))))</f>
        <v>0.3787343528424244</v>
      </c>
      <c r="BM23" s="130">
        <f t="shared" si="78"/>
        <v>0</v>
      </c>
      <c r="BN23" s="130">
        <f t="shared" ca="1" si="79"/>
        <v>0.38228056217211775</v>
      </c>
      <c r="BO23" s="221">
        <f t="shared" ca="1" si="80"/>
        <v>0.62318459811095361</v>
      </c>
      <c r="BP23" s="221">
        <f t="shared" ca="1" si="81"/>
        <v>0.19114028108605888</v>
      </c>
      <c r="BQ23" s="221" t="str">
        <f t="shared" ca="1" si="82"/>
        <v>CCM</v>
      </c>
      <c r="BR23" s="130">
        <f t="shared" ca="1" si="83"/>
        <v>0.98936717642121219</v>
      </c>
      <c r="BS23" s="130">
        <f>$BI$2*Constants!$C$20/1000</f>
        <v>0.09</v>
      </c>
      <c r="BT23" s="130">
        <f>0.5*$BI$2*IF($BI$2&lt;=18,Fsw,1.5*Fsw-$BI$2/36*Fsw)*($BI$2/Constants!$C$25+$BI$2/Constants!$C$26)*10^-3*IF($BI$2&lt;=Vin_mode,$BH23/(1-Efficiency!BK23),$BH23)</f>
        <v>7.387654320987655E-2</v>
      </c>
      <c r="BU23" s="221">
        <f ca="1">0.5*(Vout_typ+$BI23)*IF($BI$2&lt;=18,Fsw,1.5*Fsw-$BI$2/36*Fsw)*((Vout_typ+$BI23)/Constants!$C$25+(Vout_typ+$BI23)/Constants!$C$26)*10^-3*IF($BI$2&lt;=Vin_mode,$BH23/(1-BK23),0)</f>
        <v>0</v>
      </c>
      <c r="BV23" s="221">
        <f t="shared" ca="1" si="84"/>
        <v>6.4275668176156153E-2</v>
      </c>
      <c r="BW23" s="130">
        <f t="shared" ca="1" si="98"/>
        <v>0</v>
      </c>
      <c r="BX23" s="130">
        <f>IF($BI$2&lt;=Vin_mode,Fsw*$BI$2*Qg_boost/1000,0)+Constants!$D$24*$BI$2*IF(Efficiency!$BI$2&lt;=18,Fsw,1.5*Fsw-Efficiency!$BI$2/36*Fsw)/1000</f>
        <v>4.3066666666666677E-2</v>
      </c>
      <c r="BY23" s="130">
        <f t="shared" ca="1" si="99"/>
        <v>0.2712188780526994</v>
      </c>
      <c r="BZ23" s="130">
        <f t="shared" ca="1" si="100"/>
        <v>9.7028758503531556E-2</v>
      </c>
      <c r="CA23" s="130">
        <f t="shared" ca="1" si="101"/>
        <v>0.26040830619848127</v>
      </c>
      <c r="CB23" s="130">
        <f>IF($BI$2&gt;(5+Design!$B$26),0,Vout_typ*Constants!$D$24*Fsw/1000)</f>
        <v>0</v>
      </c>
      <c r="CC23" s="130">
        <f ca="1">(BH23/(1-BK23))^2*LoDCR/1000*(1+(CE23-25)*Constants!C$31/100)</f>
        <v>3.2646091188675654E-2</v>
      </c>
      <c r="CD23" s="130">
        <f>IF(Snubber,0.5*Snubber!$B$16/1000000000000*$BI$2^2*IF($BI$2&lt;=18,Fsw,1.5*Fsw-$BI$2/36*Fsw)*1000000,0)</f>
        <v>0</v>
      </c>
      <c r="CE23" s="131">
        <f ca="1">BY23*Design!$C$13+A23</f>
        <v>95.035098487949881</v>
      </c>
      <c r="CF23" s="131">
        <f ca="1">Constants!$D$21+Constants!$D$21*Constants!$C$22/100*(CE23-25)</f>
        <v>160.07509541888416</v>
      </c>
      <c r="CG23" s="131">
        <f ca="1">Rds_boost_max+Constants!$C$22*Rds_boost_max/100*(CE23-25)</f>
        <v>32.015019083776835</v>
      </c>
      <c r="CH23" s="130">
        <f t="shared" ca="1" si="102"/>
        <v>0.66130203394338793</v>
      </c>
      <c r="CI23" s="130">
        <f t="shared" si="85"/>
        <v>9.5910489510489523</v>
      </c>
      <c r="CJ23" s="286">
        <f t="shared" ca="1" si="105"/>
        <v>93.549752296703275</v>
      </c>
    </row>
    <row r="24" spans="1:88" ht="12.75" customHeight="1" thickBot="1" x14ac:dyDescent="0.3">
      <c r="A24" s="95">
        <f>Design!$D$14</f>
        <v>85</v>
      </c>
      <c r="B24" s="217">
        <f t="shared" si="87"/>
        <v>0.89999999999999991</v>
      </c>
      <c r="C24" s="218">
        <f ca="1">FORECAST(B24, OFFSET(Design!$C$19:$C$21,MATCH(B24,Design!$B$19:$B$21,1)-1,0,2), OFFSET(Design!$B$19:$B$21,MATCH(B24,Design!$B$19:$B$21,1)-1,0,2))+(Y24-25)*Design!$B$22/1000</f>
        <v>0.31502218914813984</v>
      </c>
      <c r="D24" s="250">
        <f t="shared" ca="1" si="53"/>
        <v>0.89547764376935435</v>
      </c>
      <c r="E24" s="218">
        <f>MAX(0,(1-1.844*Efficiency!$C$2/RNG))</f>
        <v>0.60485714285714287</v>
      </c>
      <c r="F24" s="126">
        <f>IF($C$2&lt;=Vin_mode,MAX(Efficiency!$C$2*E24/(Fsw*Lo),(Efficiency!$C$2*E24/(Fsw*Lo)+(Efficiency!$C$2-Vout_typ)*(1.844*Vout_typ/RNG-E24)/(Fsw*Lo))),IF(K24="DCM",D24*($C$2-Vout_typ)/(Lo*IF($C$2&lt;=18,Fsw,1.5*Fsw-$C$2/36*Fsw)),D24*($C$2-(Vout_typ+1*C24)-(L24-F24/2)*(Z24+LoDCR)/1000)/(Lo*IF($C$2&lt;=18,Fsw,1.5*Fsw-$C$2/36*Fsw))))</f>
        <v>0.27493506493506492</v>
      </c>
      <c r="G24" s="126">
        <f t="shared" ca="1" si="54"/>
        <v>0.2733559384670462</v>
      </c>
      <c r="H24" s="126">
        <f t="shared" ca="1" si="55"/>
        <v>0.16751500743095588</v>
      </c>
      <c r="I24" s="218">
        <f t="shared" ca="1" si="56"/>
        <v>0.82481682509831344</v>
      </c>
      <c r="J24" s="218">
        <f t="shared" ca="1" si="57"/>
        <v>7.2817599207597727E-2</v>
      </c>
      <c r="K24" s="218" t="str">
        <f t="shared" ca="1" si="58"/>
        <v>CCM</v>
      </c>
      <c r="L24" s="126">
        <f t="shared" ca="1" si="59"/>
        <v>2.3140198889338519</v>
      </c>
      <c r="M24" s="126">
        <f>$C$2*Constants!$C$20/1000</f>
        <v>2.7E-2</v>
      </c>
      <c r="N24" s="126">
        <f>0.5*$C$2*IF($C$2&lt;=18,Fsw,1.5*Fsw-$C$2/36*Fsw)*($C$2/Constants!$C$25+$C$2/Constants!$C$26)*10^-3*IF($C$2&lt;=Vin_mode,$B24/(1-Efficiency!E24),$B24)</f>
        <v>2.0043383947939263E-2</v>
      </c>
      <c r="O24" s="218">
        <f ca="1">0.5*(Vout_typ+$C24)*IF($C$2&lt;=18,Fsw,1.5*Fsw-$C$2/36*Fsw)*((Vout_typ+$C24)/Constants!$C$25+(Vout_typ+$C24)/Constants!$C$26)*10^-3*IF($C$2&lt;=Vin_mode,$B24/(1-E24),0)</f>
        <v>8.4284832364635798E-2</v>
      </c>
      <c r="P24" s="218">
        <f t="shared" ca="1" si="60"/>
        <v>0.82762663616861099</v>
      </c>
      <c r="Q24" s="126">
        <f t="shared" ca="1" si="61"/>
        <v>0.11094256898114335</v>
      </c>
      <c r="R24" s="126">
        <f>IF($C$2&lt;=Vin_mode,Fsw*$C$2*Qg_boost/1000,0)+Constants!$D$24*$C$2*IF(Efficiency!$C$2&lt;=18,Fsw,1.5*Fsw-Efficiency!$C$2/36*Fsw)/1000</f>
        <v>2.8080000000000001E-2</v>
      </c>
      <c r="S24" s="126">
        <f t="shared" ca="1" si="88"/>
        <v>0.90275002011655026</v>
      </c>
      <c r="T24" s="126">
        <f t="shared" ca="1" si="62"/>
        <v>7.499610531113815E-2</v>
      </c>
      <c r="U24" s="126">
        <f t="shared" ca="1" si="63"/>
        <v>0.28351997023332581</v>
      </c>
      <c r="V24" s="126">
        <f>IF($C$2&gt;(5+Design!$B$26),0,Vout_typ*Constants!$D$24*Fsw/1000)</f>
        <v>0</v>
      </c>
      <c r="W24" s="126">
        <f ca="1">(B24/(1-E24))^2*LoDCR/1000*(1+(Y24-25)*Constants!C$31/100)</f>
        <v>0.28367896643978247</v>
      </c>
      <c r="X24" s="126">
        <f>IF(Snubber=1,0.5*Snubber!$B$16/1000000000000*$C$2^2*Fsw*1000000,0)</f>
        <v>0</v>
      </c>
      <c r="Y24" s="127">
        <f ca="1">S24*Design!$C$13+A24</f>
        <v>118.40175074431235</v>
      </c>
      <c r="Z24" s="127">
        <f ca="1">Constants!$D$21+Constants!$D$21*Constants!$C$22/100*(Y24-25)</f>
        <v>176.78225178218332</v>
      </c>
      <c r="AA24" s="127">
        <f ca="1">Rds_boost_max+Constants!$C$22*Rds_boost_max/100*(Y24-25)</f>
        <v>35.356450356436667</v>
      </c>
      <c r="AB24" s="126">
        <f t="shared" ca="1" si="64"/>
        <v>1.7401724634465758</v>
      </c>
      <c r="AC24" s="126">
        <f t="shared" si="65"/>
        <v>10.789930069930071</v>
      </c>
      <c r="AD24" s="219">
        <f t="shared" ca="1" si="66"/>
        <v>86.112065253965412</v>
      </c>
      <c r="AE24" s="270">
        <f t="shared" si="89"/>
        <v>0.89999999999999991</v>
      </c>
      <c r="AF24" s="220">
        <f ca="1">FORECAST(AE24, OFFSET(Design!$C$19:$C$21,MATCH(AE24,Design!$B$19:$B$21,1)-1,0,2), OFFSET(Design!$B$19:$B$21,MATCH(AE24,Design!$B$19:$B$21,1)-1,0,2))+(BB24-25)*Design!$B$22/1000</f>
        <v>0.33211775312238279</v>
      </c>
      <c r="AG24" s="258">
        <f t="shared" ca="1" si="67"/>
        <v>0.83212399929739234</v>
      </c>
      <c r="AH24" s="220">
        <f>MAX(0,(1-1.844*Efficiency!$AF$2/RNG))</f>
        <v>0.20971428571428574</v>
      </c>
      <c r="AI24" s="128">
        <f>IF($AF$2&lt;=Vin_mode,MAX(Efficiency!$AF$2*AH24/(Fsw*Lo),(Efficiency!$AF$2*AH24/(Fsw*Lo)+(Efficiency!$AF$2-Vout_typ)*(1.844*Vout_typ/RNG-AH24)/(Fsw*Lo))),IF(AN24="DCM",AG24*($AF$2-Vout_typ)/(Lo*IF($AF$2&lt;=18,Fsw,1.5*Fsw-$AF$2/36*Fsw)),AG24*($AF$2-(Vout_typ+1*AF24)-(AO24-AI24/2)*(BC24+LoDCR)/1000)/(Lo*IF($AF$2&lt;=18,Fsw,1.5*Fsw-$AF$2/36*Fsw))))</f>
        <v>0.19114084000339554</v>
      </c>
      <c r="AJ24" s="128">
        <f t="shared" ca="1" si="68"/>
        <v>0.19029591938679213</v>
      </c>
      <c r="AK24" s="128">
        <f t="shared" ca="1" si="69"/>
        <v>0.17379629303884953</v>
      </c>
      <c r="AL24" s="220">
        <f t="shared" ca="1" si="70"/>
        <v>0.8187408076590118</v>
      </c>
      <c r="AM24" s="220">
        <f t="shared" ca="1" si="71"/>
        <v>0.12789537813299187</v>
      </c>
      <c r="AN24" s="220" t="str">
        <f t="shared" ca="1" si="90"/>
        <v>CCM</v>
      </c>
      <c r="AO24" s="128">
        <f t="shared" ca="1" si="73"/>
        <v>1.1591301264040987</v>
      </c>
      <c r="AP24" s="128">
        <f>$AF$2*Constants!$C$20/1000</f>
        <v>5.3999999999999999E-2</v>
      </c>
      <c r="AQ24" s="128">
        <f>0.5*$AF$2*IF($AF$2&lt;=18,Fsw,1.5*Fsw-$AF$2/36*Fsw)*($AF$2/Constants!$C$25+$AF$2/Constants!$C$26)*10^-3*IF($AF$2&lt;=Vin_mode,$AE24/(1-Efficiency!AH24),$AE24)</f>
        <v>4.0086767895878526E-2</v>
      </c>
      <c r="AR24" s="220">
        <f ca="1">0.5*(Vout_typ+$AF24)*IF($AF$2&lt;=18,Fsw,1.5*Fsw-$AF$2/36*Fsw)*((Vout_typ+$AF24)/Constants!$C$25+(Vout_typ+$AF24)/Constants!$C$26)*10^-3*IF($AF$2&lt;=Vin_mode,$AE24/(1-AH24),0)</f>
        <v>4.2259607120020172E-2</v>
      </c>
      <c r="AS24" s="220">
        <f t="shared" ca="1" si="74"/>
        <v>0.17495041525300523</v>
      </c>
      <c r="AT24" s="128">
        <f t="shared" ca="1" si="91"/>
        <v>8.7852799914215299E-3</v>
      </c>
      <c r="AU24" s="128">
        <f>IF($AF$2&lt;=Vin_mode,Fsw*$AF$2*Qg_boost/1000,0)+Constants!$D$24*$AF$2*IF(Efficiency!$AF$2&lt;=18,Fsw,1.5*Fsw-Efficiency!$AF$2/36*Fsw)/1000</f>
        <v>5.6160000000000002E-2</v>
      </c>
      <c r="AV24" s="128">
        <f t="shared" ca="1" si="92"/>
        <v>0.32519718314888374</v>
      </c>
      <c r="AW24" s="128">
        <f t="shared" ca="1" si="93"/>
        <v>6.3494935102329383E-2</v>
      </c>
      <c r="AX24" s="128">
        <f t="shared" ca="1" si="94"/>
        <v>0.2989059778101445</v>
      </c>
      <c r="AY24" s="128">
        <f>IF($AF$2&gt;(5+Design!$B$26),0,Vout_typ*Constants!$D$24*Fsw/1000)</f>
        <v>0</v>
      </c>
      <c r="AZ24" s="128">
        <f ca="1">(AE24/(1-AH24))^2*LoDCR/1000*(1+(BB12-25)*Constants!C$31/100)</f>
        <v>5.3970045916617949E-2</v>
      </c>
      <c r="BA24" s="128">
        <f>IF(Snubber=1,0.5*Snubber!$B$16/1000000000000*$AF$2^2*Fsw*1000000,0)</f>
        <v>0</v>
      </c>
      <c r="BB24" s="129">
        <f ca="1">AV24*Design!$C$13+A24</f>
        <v>97.032295776508704</v>
      </c>
      <c r="BC24" s="129">
        <f ca="1">Constants!$D$21+Constants!$D$21*Constants!$C$22/100*(BB24-25)</f>
        <v>161.50309148020372</v>
      </c>
      <c r="BD24" s="129">
        <f ca="1">Rds_boost_max+Constants!$C$22*Rds_boost_max/100*(BB24-25)</f>
        <v>32.300618296040746</v>
      </c>
      <c r="BE24" s="128">
        <f t="shared" ca="1" si="95"/>
        <v>0.79261302908941733</v>
      </c>
      <c r="BF24" s="128">
        <f t="shared" si="75"/>
        <v>10.789930069930071</v>
      </c>
      <c r="BG24" s="285">
        <f t="shared" ca="1" si="104"/>
        <v>93.156830738177732</v>
      </c>
      <c r="BH24" s="284">
        <f t="shared" si="97"/>
        <v>0.89999999999999991</v>
      </c>
      <c r="BI24" s="272">
        <f ca="1">FORECAST(BH24, OFFSET(Design!$C$19:$C$21,MATCH(BH24,Design!$B$19:$B$21,1)-1,0,2), OFFSET(Design!$B$19:$B$21,MATCH(BH24,Design!$B$19:$B$21,1)-1,0,2))+(CE24-25)*Design!$B$22/1000</f>
        <v>0.33292142390598611</v>
      </c>
      <c r="BJ24" s="272">
        <f t="shared" ca="1" si="77"/>
        <v>0.62861694198172058</v>
      </c>
      <c r="BK24" s="272">
        <f>MAX(0,(1-1.844*Efficiency!$BI$2/RNG))</f>
        <v>0</v>
      </c>
      <c r="BL24" s="130">
        <f ca="1">IF($BI$2&lt;=Vin_mode,MAX(Efficiency!$BI$2*BK24/(Fsw*Lo),(Efficiency!$BI$2*BK24/(Fsw*Lo)+(Efficiency!$BI$2-Vout_typ)*(1.844*Vout_typ/RNG-BK24)/(Fsw*Lo))),IF(BQ24="DCM",BJ24*($BI$2-Vout_typ)/(Lo*IF($BI$2&lt;=18,Fsw,1.5*Fsw-$BI$2/36*Fsw)),BJ24*($BI$2-(Vout_typ+1*BI24)-(BR24-BL24/2)*(CF24+LoDCR)/1000)/(Lo*IF($BI$2&lt;=18,Fsw,1.5*Fsw-$BI$2/36*Fsw))))</f>
        <v>0.37805566077859332</v>
      </c>
      <c r="BM24" s="130">
        <f t="shared" si="78"/>
        <v>0</v>
      </c>
      <c r="BN24" s="130">
        <f t="shared" ca="1" si="79"/>
        <v>0.38221406103737704</v>
      </c>
      <c r="BO24" s="221">
        <f t="shared" ca="1" si="80"/>
        <v>0.62369112031177265</v>
      </c>
      <c r="BP24" s="221">
        <f t="shared" ca="1" si="81"/>
        <v>0.19110703051868852</v>
      </c>
      <c r="BQ24" s="221" t="str">
        <f t="shared" ca="1" si="82"/>
        <v>CCM</v>
      </c>
      <c r="BR24" s="130">
        <f t="shared" ca="1" si="83"/>
        <v>1.0890278303892966</v>
      </c>
      <c r="BS24" s="130">
        <f>$BI$2*Constants!$C$20/1000</f>
        <v>0.09</v>
      </c>
      <c r="BT24" s="130">
        <f>0.5*$BI$2*IF($BI$2&lt;=18,Fsw,1.5*Fsw-$BI$2/36*Fsw)*($BI$2/Constants!$C$25+$BI$2/Constants!$C$26)*10^-3*IF($BI$2&lt;=Vin_mode,$BH24/(1-Efficiency!BK24),$BH24)</f>
        <v>8.3111111111111122E-2</v>
      </c>
      <c r="BU24" s="221">
        <f ca="1">0.5*(Vout_typ+$BI24)*IF($BI$2&lt;=18,Fsw,1.5*Fsw-$BI$2/36*Fsw)*((Vout_typ+$BI24)/Constants!$C$25+(Vout_typ+$BI24)/Constants!$C$26)*10^-3*IF($BI$2&lt;=Vin_mode,$BH24/(1-BK24),0)</f>
        <v>0</v>
      </c>
      <c r="BV24" s="221">
        <f t="shared" ca="1" si="84"/>
        <v>8.1868365384506939E-2</v>
      </c>
      <c r="BW24" s="130">
        <f t="shared" ca="1" si="98"/>
        <v>0</v>
      </c>
      <c r="BX24" s="130">
        <f>IF($BI$2&lt;=Vin_mode,Fsw*$BI$2*Qg_boost/1000,0)+Constants!$D$24*$BI$2*IF(Efficiency!$BI$2&lt;=18,Fsw,1.5*Fsw-Efficiency!$BI$2/36*Fsw)/1000</f>
        <v>4.3066666666666677E-2</v>
      </c>
      <c r="BY24" s="130">
        <f t="shared" ca="1" si="99"/>
        <v>0.29804614316228473</v>
      </c>
      <c r="BZ24" s="130">
        <f t="shared" ca="1" si="100"/>
        <v>0.11127723884100453</v>
      </c>
      <c r="CA24" s="130">
        <f t="shared" ca="1" si="101"/>
        <v>0.29962928151538748</v>
      </c>
      <c r="CB24" s="130">
        <f>IF($BI$2&gt;(5+Design!$B$26),0,Vout_typ*Constants!$D$24*Fsw/1000)</f>
        <v>0</v>
      </c>
      <c r="CC24" s="130">
        <f ca="1">(BH24/(1-BK24))^2*LoDCR/1000*(1+(CE24-25)*Constants!C$31/100)</f>
        <v>4.144410002554217E-2</v>
      </c>
      <c r="CD24" s="130">
        <f>IF(Snubber,0.5*Snubber!$B$16/1000000000000*$BI$2^2*IF($BI$2&lt;=18,Fsw,1.5*Fsw-$BI$2/36*Fsw)*1000000,0)</f>
        <v>0</v>
      </c>
      <c r="CE24" s="131">
        <f ca="1">BY24*Design!$C$13+A24</f>
        <v>96.02770729700454</v>
      </c>
      <c r="CF24" s="131">
        <f ca="1">Constants!$D$21+Constants!$D$21*Constants!$C$22/100*(CE24-25)</f>
        <v>160.78481071735825</v>
      </c>
      <c r="CG24" s="131">
        <f ca="1">Rds_boost_max+Constants!$C$22*Rds_boost_max/100*(CE24-25)</f>
        <v>32.156962143471652</v>
      </c>
      <c r="CH24" s="130">
        <f t="shared" ca="1" si="102"/>
        <v>0.75039676354421891</v>
      </c>
      <c r="CI24" s="130">
        <f t="shared" si="85"/>
        <v>10.789930069930071</v>
      </c>
      <c r="CJ24" s="286">
        <f t="shared" ca="1" si="105"/>
        <v>93.497612551426272</v>
      </c>
    </row>
    <row r="25" spans="1:88" ht="12.75" customHeight="1" thickBot="1" x14ac:dyDescent="0.3">
      <c r="A25" s="97">
        <f>Design!$D$14</f>
        <v>85</v>
      </c>
      <c r="B25" s="269">
        <f t="shared" si="87"/>
        <v>0.99999999999999989</v>
      </c>
      <c r="C25" s="250">
        <f ca="1">FORECAST(B25, OFFSET(Design!$C$19:$C$21,MATCH(B25,Design!$B$19:$B$21,1)-1,0,2), OFFSET(Design!$B$19:$B$21,MATCH(B25,Design!$B$19:$B$21,1)-1,0,2))+(Y25-25)*Design!$B$22/1000</f>
        <v>0.31591937231517409</v>
      </c>
      <c r="D25" s="250">
        <f t="shared" ca="1" si="53"/>
        <v>0.90760796936336385</v>
      </c>
      <c r="E25" s="250">
        <f>MAX(0,(1-1.844*Efficiency!$C$2/RNG))</f>
        <v>0.60485714285714287</v>
      </c>
      <c r="F25" s="251">
        <f>IF($C$2&lt;=Vin_mode,MAX(Efficiency!$C$2*E25/(Fsw*Lo),(Efficiency!$C$2*E25/(Fsw*Lo)+(Efficiency!$C$2-Vout_typ)*(1.844*Vout_typ/RNG-E25)/(Fsw*Lo))),IF(K25="DCM",D25*($C$2-Vout_typ)/(Lo*IF($C$2&lt;=18,Fsw,1.5*Fsw-$C$2/36*Fsw)),D25*($C$2-(Vout_typ+1*C25)-(L25-F25/2)*(Z25+LoDCR)/1000)/(Lo*IF($C$2&lt;=18,Fsw,1.5*Fsw-$C$2/36*Fsw))))</f>
        <v>0.27493506493506492</v>
      </c>
      <c r="G25" s="251">
        <f t="shared" ca="1" si="54"/>
        <v>0.27330714172571285</v>
      </c>
      <c r="H25" s="251">
        <f t="shared" ca="1" si="55"/>
        <v>0.16731520896308186</v>
      </c>
      <c r="I25" s="250">
        <f t="shared" ca="1" si="56"/>
        <v>0.82505058487494287</v>
      </c>
      <c r="J25" s="250">
        <f t="shared" ca="1" si="57"/>
        <v>7.4428686380319395E-2</v>
      </c>
      <c r="K25" s="250" t="str">
        <f t="shared" ca="1" si="58"/>
        <v>CCM</v>
      </c>
      <c r="L25" s="251">
        <f t="shared" ca="1" si="59"/>
        <v>2.5628728601948594</v>
      </c>
      <c r="M25" s="251">
        <f>$C$2*Constants!$C$20/1000</f>
        <v>2.7E-2</v>
      </c>
      <c r="N25" s="251">
        <f>0.5*$C$2*IF($C$2&lt;=18,Fsw,1.5*Fsw-$C$2/36*Fsw)*($C$2/Constants!$C$25+$C$2/Constants!$C$26)*10^-3*IF($C$2&lt;=Vin_mode,$B25/(1-Efficiency!E25),$B25)</f>
        <v>2.2270426608821402E-2</v>
      </c>
      <c r="O25" s="250">
        <f ca="1">0.5*(Vout_typ+$C25)*IF($C$2&lt;=18,Fsw,1.5*Fsw-$C$2/36*Fsw)*((Vout_typ+$C25)/Constants!$C$25+(Vout_typ+$C25)/Constants!$C$26)*10^-3*IF($C$2&lt;=Vin_mode,$B25/(1-E25),0)</f>
        <v>9.3663471937074139E-2</v>
      </c>
      <c r="P25" s="250">
        <f t="shared" ca="1" si="60"/>
        <v>1.0722896285784704</v>
      </c>
      <c r="Q25" s="251">
        <f t="shared" ca="1" si="61"/>
        <v>0.14202654640630238</v>
      </c>
      <c r="R25" s="251">
        <f>IF($C$2&lt;=Vin_mode,Fsw*$C$2*Qg_boost/1000,0)+Constants!$D$24*$C$2*IF(Efficiency!$C$2&lt;=18,Fsw,1.5*Fsw-Efficiency!$C$2/36*Fsw)/1000</f>
        <v>2.8080000000000001E-2</v>
      </c>
      <c r="S25" s="251">
        <f t="shared" ca="1" si="88"/>
        <v>1.1496400551872918</v>
      </c>
      <c r="T25" s="251">
        <f t="shared" ca="1" si="62"/>
        <v>7.3868049992607723E-2</v>
      </c>
      <c r="U25" s="251">
        <f t="shared" ca="1" si="63"/>
        <v>0.31591937231517403</v>
      </c>
      <c r="V25" s="251">
        <f>IF($C$2&gt;(5+Design!$B$26),0,Vout_typ*Constants!$D$24*Fsw/1000)</f>
        <v>0</v>
      </c>
      <c r="W25" s="251">
        <f ca="1">(B25/(1-E25))^2*LoDCR/1000*(1+(Y25-25)*Constants!C$31/100)</f>
        <v>0.35941801757010367</v>
      </c>
      <c r="X25" s="251">
        <f>IF(Snubber=1,0.5*Snubber!$B$16/1000000000000*$C$2^2*Fsw*1000000,0)</f>
        <v>0</v>
      </c>
      <c r="Y25" s="252">
        <f ca="1">S25*Design!$C$13+A25</f>
        <v>127.53668204192979</v>
      </c>
      <c r="Z25" s="252">
        <f ca="1">Constants!$D$21+Constants!$D$21*Constants!$C$22/100*(Y25-25)</f>
        <v>183.3137276599798</v>
      </c>
      <c r="AA25" s="252">
        <f ca="1">Rds_boost_max+Constants!$C$22*Rds_boost_max/100*(Y25-25)</f>
        <v>36.662745531995967</v>
      </c>
      <c r="AB25" s="251">
        <f t="shared" ca="1" si="64"/>
        <v>2.1345355134085535</v>
      </c>
      <c r="AC25" s="251">
        <f t="shared" si="65"/>
        <v>11.988811188811189</v>
      </c>
      <c r="AD25" s="276">
        <f t="shared" ca="1" si="66"/>
        <v>84.886475150588268</v>
      </c>
      <c r="AE25" s="270">
        <f t="shared" si="89"/>
        <v>0.99999999999999989</v>
      </c>
      <c r="AF25" s="258">
        <f ca="1">FORECAST(AE25, OFFSET(Design!$C$19:$C$21,MATCH(AE25,Design!$B$19:$B$21,1)-1,0,2), OFFSET(Design!$B$19:$B$21,MATCH(AE25,Design!$B$19:$B$21,1)-1,0,2))+(BB25-25)*Design!$B$22/1000</f>
        <v>0.3389114176462914</v>
      </c>
      <c r="AG25" s="258">
        <f t="shared" ca="1" si="67"/>
        <v>0.83465090318414126</v>
      </c>
      <c r="AH25" s="258">
        <f>MAX(0,(1-1.844*Efficiency!$AF$2/RNG))</f>
        <v>0.20971428571428574</v>
      </c>
      <c r="AI25" s="259">
        <f>IF($AF$2&lt;=Vin_mode,MAX(Efficiency!$AF$2*AH25/(Fsw*Lo),(Efficiency!$AF$2*AH25/(Fsw*Lo)+(Efficiency!$AF$2-Vout_typ)*(1.844*Vout_typ/RNG-AH25)/(Fsw*Lo))),IF(AN25="DCM",AG25*($AF$2-Vout_typ)/(Lo*IF($AF$2&lt;=18,Fsw,1.5*Fsw-$AF$2/36*Fsw)),AG25*($AF$2-(Vout_typ+1*AF25)-(AO25-AI25/2)*(BC25+LoDCR)/1000)/(Lo*IF($AF$2&lt;=18,Fsw,1.5*Fsw-$AF$2/36*Fsw))))</f>
        <v>0.19114084000339554</v>
      </c>
      <c r="AJ25" s="259">
        <f t="shared" ca="1" si="68"/>
        <v>0.19029363531628926</v>
      </c>
      <c r="AK25" s="259">
        <f t="shared" ca="1" si="69"/>
        <v>0.17345641839081116</v>
      </c>
      <c r="AL25" s="258">
        <f t="shared" ca="1" si="70"/>
        <v>0.81928918058476385</v>
      </c>
      <c r="AM25" s="258">
        <f t="shared" ca="1" si="71"/>
        <v>0.12800079514301396</v>
      </c>
      <c r="AN25" s="258" t="str">
        <f t="shared" ca="1" si="90"/>
        <v>CCM</v>
      </c>
      <c r="AO25" s="259">
        <f t="shared" ca="1" si="73"/>
        <v>1.2853610590034616</v>
      </c>
      <c r="AP25" s="259">
        <f>$AF$2*Constants!$C$20/1000</f>
        <v>5.3999999999999999E-2</v>
      </c>
      <c r="AQ25" s="259">
        <f>0.5*$AF$2*IF($AF$2&lt;=18,Fsw,1.5*Fsw-$AF$2/36*Fsw)*($AF$2/Constants!$C$25+$AF$2/Constants!$C$26)*10^-3*IF($AF$2&lt;=Vin_mode,$AE25/(1-Efficiency!AH25),$AE25)</f>
        <v>4.4540853217642805E-2</v>
      </c>
      <c r="AR25" s="258">
        <f ca="1">0.5*(Vout_typ+$AF25)*IF($AF$2&lt;=18,Fsw,1.5*Fsw-$AF$2/36*Fsw)*((Vout_typ+$AF25)/Constants!$C$25+(Vout_typ+$AF25)/Constants!$C$26)*10^-3*IF($AF$2&lt;=Vin_mode,$AE25/(1-AH25),0)</f>
        <v>4.7006914674040896E-2</v>
      </c>
      <c r="AS25" s="258">
        <f t="shared" ca="1" si="74"/>
        <v>0.2181809137562267</v>
      </c>
      <c r="AT25" s="259">
        <f t="shared" ca="1" si="91"/>
        <v>1.0930742644942789E-2</v>
      </c>
      <c r="AU25" s="259">
        <f>IF($AF$2&lt;=Vin_mode,Fsw*$AF$2*Qg_boost/1000,0)+Constants!$D$24*$AF$2*IF(Efficiency!$AF$2&lt;=18,Fsw,1.5*Fsw-Efficiency!$AF$2/36*Fsw)/1000</f>
        <v>5.6160000000000002E-2</v>
      </c>
      <c r="AV25" s="259">
        <f t="shared" ca="1" si="92"/>
        <v>0.37288176697386949</v>
      </c>
      <c r="AW25" s="259">
        <f t="shared" ca="1" si="93"/>
        <v>7.0909413893488066E-2</v>
      </c>
      <c r="AX25" s="259">
        <f t="shared" ca="1" si="94"/>
        <v>0.33891141764629135</v>
      </c>
      <c r="AY25" s="259">
        <f>IF($AF$2&gt;(5+Design!$B$26),0,Vout_typ*Constants!$D$24*Fsw/1000)</f>
        <v>0</v>
      </c>
      <c r="AZ25" s="259">
        <f ca="1">(AE25/(1-AH25))^2*LoDCR/1000*(1+(BB13-25)*Constants!C$31/100)</f>
        <v>6.6963512114893251E-2</v>
      </c>
      <c r="BA25" s="259">
        <f>IF(Snubber=1,0.5*Snubber!$B$16/1000000000000*$AF$2^2*Fsw*1000000,0)</f>
        <v>0</v>
      </c>
      <c r="BB25" s="275">
        <f ca="1">AV25*Design!$C$13+A25</f>
        <v>98.79662537803317</v>
      </c>
      <c r="BC25" s="275">
        <f ca="1">Constants!$D$21+Constants!$D$21*Constants!$C$22/100*(BB25-25)</f>
        <v>162.76458714529372</v>
      </c>
      <c r="BD25" s="275">
        <f ca="1">Rds_boost_max+Constants!$C$22*Rds_boost_max/100*(BB25-25)</f>
        <v>32.552917429058745</v>
      </c>
      <c r="BE25" s="259">
        <f t="shared" ca="1" si="95"/>
        <v>0.90760376794752584</v>
      </c>
      <c r="BF25" s="259">
        <f t="shared" si="75"/>
        <v>11.988811188811189</v>
      </c>
      <c r="BG25" s="285">
        <f t="shared" ca="1" si="104"/>
        <v>92.962356042429676</v>
      </c>
      <c r="BH25" s="284">
        <f t="shared" si="97"/>
        <v>0.99999999999999989</v>
      </c>
      <c r="BI25" s="272">
        <f ca="1">FORECAST(BH25, OFFSET(Design!$C$19:$C$21,MATCH(BH25,Design!$B$19:$B$21,1)-1,0,2), OFFSET(Design!$B$19:$B$21,MATCH(BH25,Design!$B$19:$B$21,1)-1,0,2))+(CE25-25)*Design!$B$22/1000</f>
        <v>0.34026460090682314</v>
      </c>
      <c r="BJ25" s="272">
        <f t="shared" ca="1" si="77"/>
        <v>0.62983911038477347</v>
      </c>
      <c r="BK25" s="272">
        <f>MAX(0,(1-1.844*Efficiency!$BI$2/RNG))</f>
        <v>0</v>
      </c>
      <c r="BL25" s="273">
        <f ca="1">IF($BI$2&lt;=Vin_mode,MAX(Efficiency!$BI$2*BK25/(Fsw*Lo),(Efficiency!$BI$2*BK25/(Fsw*Lo)+(Efficiency!$BI$2-Vout_typ)*(1.844*Vout_typ/RNG-BK25)/(Fsw*Lo))),IF(BQ25="DCM",BJ25*($BI$2-Vout_typ)/(Lo*IF($BI$2&lt;=18,Fsw,1.5*Fsw-$BI$2/36*Fsw)),BJ25*($BI$2-(Vout_typ+1*BI25)-(BR25-BL25/2)*(CF25+LoDCR)/1000)/(Lo*IF($BI$2&lt;=18,Fsw,1.5*Fsw-$BI$2/36*Fsw))))</f>
        <v>0.37736636995318862</v>
      </c>
      <c r="BM25" s="273">
        <f t="shared" si="78"/>
        <v>0</v>
      </c>
      <c r="BN25" s="273">
        <f t="shared" ca="1" si="79"/>
        <v>0.38214694926836318</v>
      </c>
      <c r="BO25" s="272">
        <f t="shared" ca="1" si="80"/>
        <v>0.62419303470372633</v>
      </c>
      <c r="BP25" s="272">
        <f t="shared" ca="1" si="81"/>
        <v>0.19107347463418159</v>
      </c>
      <c r="BQ25" s="272" t="str">
        <f t="shared" ca="1" si="82"/>
        <v>CCM</v>
      </c>
      <c r="BR25" s="273">
        <f t="shared" ca="1" si="83"/>
        <v>1.1886831849765942</v>
      </c>
      <c r="BS25" s="273">
        <f>$BI$2*Constants!$C$20/1000</f>
        <v>0.09</v>
      </c>
      <c r="BT25" s="273">
        <f>0.5*$BI$2*IF($BI$2&lt;=18,Fsw,1.5*Fsw-$BI$2/36*Fsw)*($BI$2/Constants!$C$25+$BI$2/Constants!$C$26)*10^-3*IF($BI$2&lt;=Vin_mode,$BH25/(1-Efficiency!BK25),$BH25)</f>
        <v>9.234567901234568E-2</v>
      </c>
      <c r="BU25" s="272">
        <f ca="1">0.5*(Vout_typ+$BI25)*IF($BI$2&lt;=18,Fsw,1.5*Fsw-$BI$2/36*Fsw)*((Vout_typ+$BI25)/Constants!$C$25+(Vout_typ+$BI25)/Constants!$C$26)*10^-3*IF($BI$2&lt;=Vin_mode,$BH25/(1-BK25),0)</f>
        <v>0</v>
      </c>
      <c r="BV25" s="272">
        <f t="shared" ca="1" si="84"/>
        <v>0.10175377060121717</v>
      </c>
      <c r="BW25" s="273">
        <f t="shared" ca="1" si="98"/>
        <v>0</v>
      </c>
      <c r="BX25" s="273">
        <f>IF($BI$2&lt;=Vin_mode,Fsw*$BI$2*Qg_boost/1000,0)+Constants!$D$24*$BI$2*IF(Efficiency!$BI$2&lt;=18,Fsw,1.5*Fsw-Efficiency!$BI$2/36*Fsw)/1000</f>
        <v>4.3066666666666677E-2</v>
      </c>
      <c r="BY25" s="273">
        <f t="shared" ca="1" si="99"/>
        <v>0.32716611628022951</v>
      </c>
      <c r="BZ25" s="273">
        <f t="shared" ca="1" si="100"/>
        <v>0.12595264737623965</v>
      </c>
      <c r="CA25" s="273">
        <f t="shared" ca="1" si="101"/>
        <v>0.34026460090682309</v>
      </c>
      <c r="CB25" s="273">
        <f>IF($BI$2&gt;(5+Design!$B$26),0,Vout_typ*Constants!$D$24*Fsw/1000)</f>
        <v>0</v>
      </c>
      <c r="CC25" s="273">
        <f ca="1">(BH25/(1-BK25))^2*LoDCR/1000*(1+(CE25-25)*Constants!C$31/100)</f>
        <v>5.1334928998732314E-2</v>
      </c>
      <c r="CD25" s="273">
        <f>IF(Snubber,0.5*Snubber!$B$16/1000000000000*$BI$2^2*IF($BI$2&lt;=18,Fsw,1.5*Fsw-$BI$2/36*Fsw)*1000000,0)</f>
        <v>0</v>
      </c>
      <c r="CE25" s="274">
        <f ca="1">BY25*Design!$C$13+A25</f>
        <v>97.105146302368496</v>
      </c>
      <c r="CF25" s="274">
        <f ca="1">Constants!$D$21+Constants!$D$21*Constants!$C$22/100*(CE25-25)</f>
        <v>161.55517960619346</v>
      </c>
      <c r="CG25" s="274">
        <f ca="1">Rds_boost_max+Constants!$C$22*Rds_boost_max/100*(CE25-25)</f>
        <v>32.311035921238698</v>
      </c>
      <c r="CH25" s="273">
        <f t="shared" ca="1" si="102"/>
        <v>0.84471829356202455</v>
      </c>
      <c r="CI25" s="273">
        <f t="shared" si="85"/>
        <v>11.988811188811189</v>
      </c>
      <c r="CJ25" s="286">
        <f t="shared" ca="1" si="105"/>
        <v>93.417880134048545</v>
      </c>
    </row>
    <row r="26" spans="1:88" x14ac:dyDescent="0.25">
      <c r="A26" s="99"/>
      <c r="N26" s="118"/>
      <c r="O26" s="118"/>
      <c r="P26" s="118"/>
    </row>
    <row r="28" spans="1:88" x14ac:dyDescent="0.25">
      <c r="N28" s="3"/>
      <c r="O28" s="3"/>
      <c r="P28" s="3"/>
    </row>
    <row r="76" spans="2:18" ht="15.75" thickBot="1" x14ac:dyDescent="0.3"/>
    <row r="77" spans="2:18" x14ac:dyDescent="0.25">
      <c r="B77" s="135"/>
      <c r="C77" s="115"/>
      <c r="D77" s="115"/>
      <c r="E77" s="120"/>
      <c r="F77" s="115"/>
      <c r="G77" s="120"/>
      <c r="H77" s="120"/>
      <c r="I77" s="120"/>
      <c r="J77" s="120"/>
      <c r="K77" s="120"/>
      <c r="L77" s="120"/>
      <c r="M77" s="115"/>
      <c r="Q77" s="155">
        <v>0</v>
      </c>
      <c r="R77" s="156">
        <v>160</v>
      </c>
    </row>
    <row r="78" spans="2:18" ht="15.75" thickBot="1" x14ac:dyDescent="0.3">
      <c r="B78" s="133"/>
      <c r="C78" s="116"/>
      <c r="D78" s="116"/>
      <c r="E78" s="121"/>
      <c r="F78" s="116"/>
      <c r="G78" s="121"/>
      <c r="H78" s="121"/>
      <c r="I78" s="121"/>
      <c r="J78" s="121"/>
      <c r="K78" s="121"/>
      <c r="L78" s="121"/>
      <c r="M78" s="119"/>
      <c r="Q78" s="157">
        <v>3.5</v>
      </c>
      <c r="R78" s="158">
        <v>160</v>
      </c>
    </row>
    <row r="79" spans="2:18" x14ac:dyDescent="0.25">
      <c r="B79" s="134"/>
      <c r="C79" s="117"/>
      <c r="D79" s="98"/>
      <c r="E79" s="98"/>
      <c r="M79" s="3"/>
    </row>
    <row r="81" spans="3:4" ht="15.75" x14ac:dyDescent="0.25">
      <c r="C81" s="260"/>
      <c r="D81" s="261" t="s">
        <v>287</v>
      </c>
    </row>
    <row r="82" spans="3:4" ht="16.5" thickBot="1" x14ac:dyDescent="0.3">
      <c r="D82" s="261" t="s">
        <v>288</v>
      </c>
    </row>
    <row r="83" spans="3:4" ht="15.75" thickBot="1" x14ac:dyDescent="0.3">
      <c r="C83" s="262" t="s">
        <v>286</v>
      </c>
      <c r="D83" s="302">
        <f>0</f>
        <v>0</v>
      </c>
    </row>
  </sheetData>
  <sheetProtection algorithmName="SHA-512" hashValue="2kUUsrVpOnvuhWylrKXO9/PWB2Ud3XNu0aXvVNPhsAjX/3dykOpIO/xSTA1WQSqh5L7T/KSCV37p6SxNgWpENA==" saltValue="7vSQBQlM8U7sd78Yq+rchw==" spinCount="100000" sheet="1" objects="1" scenarios="1" selectLockedCells="1"/>
  <mergeCells count="1">
    <mergeCell ref="A1:CJ1"/>
  </mergeCells>
  <conditionalFormatting sqref="AN5:AN13">
    <cfRule type="containsText" dxfId="13" priority="14" operator="containsText" text="DCM">
      <formula>NOT(ISERROR(SEARCH("DCM",AN5)))</formula>
    </cfRule>
  </conditionalFormatting>
  <conditionalFormatting sqref="AN17:AN25">
    <cfRule type="containsText" dxfId="12" priority="13" operator="containsText" text="DCM">
      <formula>NOT(ISERROR(SEARCH("DCM",AN17)))</formula>
    </cfRule>
  </conditionalFormatting>
  <conditionalFormatting sqref="BQ4:BQ13">
    <cfRule type="containsText" dxfId="11" priority="12" operator="containsText" text="DCM">
      <formula>NOT(ISERROR(SEARCH("DCM",BQ4)))</formula>
    </cfRule>
  </conditionalFormatting>
  <conditionalFormatting sqref="BQ16:BQ25">
    <cfRule type="containsText" dxfId="10" priority="11" operator="containsText" text="DCM">
      <formula>NOT(ISERROR(SEARCH("DCM",BQ16)))</formula>
    </cfRule>
  </conditionalFormatting>
  <conditionalFormatting sqref="AN4">
    <cfRule type="containsText" dxfId="9" priority="10" operator="containsText" text="DCM">
      <formula>NOT(ISERROR(SEARCH("DCM",AN4)))</formula>
    </cfRule>
  </conditionalFormatting>
  <conditionalFormatting sqref="AN16">
    <cfRule type="containsText" dxfId="8" priority="9" operator="containsText" text="DCM">
      <formula>NOT(ISERROR(SEARCH("DCM",AN16)))</formula>
    </cfRule>
  </conditionalFormatting>
  <conditionalFormatting sqref="K4:K13">
    <cfRule type="containsText" dxfId="7" priority="8" operator="containsText" text="DCM">
      <formula>NOT(ISERROR(SEARCH("DCM",K4)))</formula>
    </cfRule>
  </conditionalFormatting>
  <conditionalFormatting sqref="K16:K25">
    <cfRule type="containsText" dxfId="6" priority="7" operator="containsText" text="DCM">
      <formula>NOT(ISERROR(SEARCH("DCM",K16)))</formula>
    </cfRule>
  </conditionalFormatting>
  <conditionalFormatting sqref="Y4:Y13">
    <cfRule type="cellIs" dxfId="5" priority="6" operator="greaterThanOrEqual">
      <formula>150</formula>
    </cfRule>
  </conditionalFormatting>
  <conditionalFormatting sqref="Y16:Y25">
    <cfRule type="cellIs" dxfId="4" priority="5" operator="greaterThanOrEqual">
      <formula>150</formula>
    </cfRule>
  </conditionalFormatting>
  <conditionalFormatting sqref="BB16:BB25">
    <cfRule type="cellIs" dxfId="3" priority="4" operator="greaterThanOrEqual">
      <formula>150</formula>
    </cfRule>
  </conditionalFormatting>
  <conditionalFormatting sqref="BB4:BB13">
    <cfRule type="cellIs" dxfId="2" priority="3" operator="greaterThanOrEqual">
      <formula>150</formula>
    </cfRule>
  </conditionalFormatting>
  <conditionalFormatting sqref="CE4:CE13">
    <cfRule type="cellIs" dxfId="1" priority="2" operator="greaterThanOrEqual">
      <formula>150</formula>
    </cfRule>
  </conditionalFormatting>
  <conditionalFormatting sqref="CE16:CE25">
    <cfRule type="cellIs" dxfId="0" priority="1" operator="greaterThanOrEqual">
      <formula>150</formula>
    </cfRule>
  </conditionalFormatting>
  <pageMargins left="0.7" right="0.7" top="0.75" bottom="0.75" header="0.3" footer="0.3"/>
  <pageSetup orientation="portrait" horizontalDpi="4294967293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63"/>
  <sheetViews>
    <sheetView zoomScaleNormal="100" workbookViewId="0">
      <selection activeCell="B3" sqref="B3"/>
    </sheetView>
  </sheetViews>
  <sheetFormatPr defaultRowHeight="15" x14ac:dyDescent="0.25"/>
  <cols>
    <col min="1" max="1" width="20.7109375" style="1" customWidth="1"/>
    <col min="2" max="5" width="9.140625" style="1"/>
    <col min="6" max="6" width="18.7109375" customWidth="1"/>
  </cols>
  <sheetData>
    <row r="1" spans="1:9" ht="24" customHeight="1" thickBot="1" x14ac:dyDescent="0.3">
      <c r="A1" s="415" t="s">
        <v>152</v>
      </c>
      <c r="B1" s="415"/>
      <c r="C1" s="415"/>
      <c r="D1" s="415"/>
      <c r="E1" s="415"/>
      <c r="F1" s="415"/>
      <c r="G1" s="415"/>
      <c r="H1" s="415"/>
      <c r="I1" s="415"/>
    </row>
    <row r="2" spans="1:9" s="2" customFormat="1" ht="18" customHeight="1" x14ac:dyDescent="0.3">
      <c r="A2" s="17" t="s">
        <v>1</v>
      </c>
      <c r="B2" s="18" t="s">
        <v>30</v>
      </c>
      <c r="C2" s="18" t="s">
        <v>31</v>
      </c>
      <c r="D2" s="18" t="s">
        <v>32</v>
      </c>
      <c r="E2" s="18" t="s">
        <v>33</v>
      </c>
      <c r="F2" s="413" t="s">
        <v>35</v>
      </c>
      <c r="G2" s="413"/>
      <c r="H2" s="413"/>
      <c r="I2" s="414"/>
    </row>
    <row r="3" spans="1:9" ht="18" customHeight="1" x14ac:dyDescent="0.25">
      <c r="A3" s="170" t="s">
        <v>20</v>
      </c>
      <c r="B3" s="241">
        <v>0.78800000000000003</v>
      </c>
      <c r="C3" s="241">
        <v>0.8</v>
      </c>
      <c r="D3" s="241">
        <v>0.81200000000000006</v>
      </c>
      <c r="E3" s="171" t="s">
        <v>2</v>
      </c>
      <c r="F3" s="181" t="s">
        <v>50</v>
      </c>
      <c r="G3" s="20"/>
      <c r="H3" s="20"/>
      <c r="I3" s="21"/>
    </row>
    <row r="4" spans="1:9" ht="18" customHeight="1" thickBot="1" x14ac:dyDescent="0.3">
      <c r="A4" s="170" t="s">
        <v>24</v>
      </c>
      <c r="B4" s="172">
        <f>100*(B3-C3)/C3</f>
        <v>-1.5000000000000013</v>
      </c>
      <c r="C4" s="279" t="s">
        <v>21</v>
      </c>
      <c r="D4" s="172">
        <f>100*(D3-C3)/C3</f>
        <v>1.5000000000000013</v>
      </c>
      <c r="E4" s="173" t="s">
        <v>23</v>
      </c>
      <c r="F4" s="181" t="s">
        <v>44</v>
      </c>
      <c r="G4" s="20"/>
      <c r="H4" s="20"/>
      <c r="I4" s="21"/>
    </row>
    <row r="5" spans="1:9" ht="18" customHeight="1" thickBot="1" x14ac:dyDescent="0.3">
      <c r="A5" s="170" t="s">
        <v>69</v>
      </c>
      <c r="B5" s="56" t="s">
        <v>21</v>
      </c>
      <c r="C5" s="246">
        <v>4</v>
      </c>
      <c r="D5" s="56" t="s">
        <v>21</v>
      </c>
      <c r="E5" s="173" t="s">
        <v>60</v>
      </c>
      <c r="F5" s="181" t="s">
        <v>85</v>
      </c>
      <c r="G5" s="20"/>
      <c r="H5" s="20"/>
      <c r="I5" s="21"/>
    </row>
    <row r="6" spans="1:9" ht="18" customHeight="1" x14ac:dyDescent="0.25">
      <c r="A6" s="170" t="s">
        <v>169</v>
      </c>
      <c r="B6" s="56" t="s">
        <v>21</v>
      </c>
      <c r="C6" s="248">
        <v>35</v>
      </c>
      <c r="D6" s="56" t="s">
        <v>21</v>
      </c>
      <c r="E6" s="173" t="s">
        <v>101</v>
      </c>
      <c r="F6" s="181" t="s">
        <v>170</v>
      </c>
      <c r="G6" s="20"/>
      <c r="H6" s="20"/>
      <c r="I6" s="21"/>
    </row>
    <row r="7" spans="1:9" ht="18" customHeight="1" x14ac:dyDescent="0.25">
      <c r="A7" s="170" t="s">
        <v>165</v>
      </c>
      <c r="B7" s="56" t="s">
        <v>21</v>
      </c>
      <c r="C7" s="56">
        <v>2.8</v>
      </c>
      <c r="D7" s="174">
        <v>2.9</v>
      </c>
      <c r="E7" s="173" t="s">
        <v>2</v>
      </c>
      <c r="F7" s="181" t="s">
        <v>52</v>
      </c>
      <c r="G7" s="20"/>
      <c r="H7" s="20"/>
      <c r="I7" s="21"/>
    </row>
    <row r="8" spans="1:9" ht="18" customHeight="1" x14ac:dyDescent="0.25">
      <c r="A8" s="170" t="s">
        <v>34</v>
      </c>
      <c r="B8" s="175">
        <v>800</v>
      </c>
      <c r="C8" s="56" t="s">
        <v>21</v>
      </c>
      <c r="D8" s="56" t="s">
        <v>21</v>
      </c>
      <c r="E8" s="173" t="s">
        <v>19</v>
      </c>
      <c r="F8" s="181" t="s">
        <v>52</v>
      </c>
      <c r="G8" s="20"/>
      <c r="H8" s="20"/>
      <c r="I8" s="21"/>
    </row>
    <row r="9" spans="1:9" ht="18" customHeight="1" x14ac:dyDescent="0.25">
      <c r="A9" s="170" t="s">
        <v>134</v>
      </c>
      <c r="B9" s="56" t="s">
        <v>21</v>
      </c>
      <c r="C9" s="56">
        <v>0.5</v>
      </c>
      <c r="D9" s="56" t="s">
        <v>21</v>
      </c>
      <c r="E9" s="56" t="s">
        <v>21</v>
      </c>
      <c r="F9" s="181" t="s">
        <v>135</v>
      </c>
      <c r="G9" s="20"/>
      <c r="H9" s="20"/>
      <c r="I9" s="21"/>
    </row>
    <row r="10" spans="1:9" ht="18" customHeight="1" x14ac:dyDescent="0.25">
      <c r="A10" s="170" t="s">
        <v>10</v>
      </c>
      <c r="B10" s="56" t="s">
        <v>21</v>
      </c>
      <c r="C10" s="223">
        <v>65</v>
      </c>
      <c r="D10" s="56" t="s">
        <v>21</v>
      </c>
      <c r="E10" s="173" t="s">
        <v>11</v>
      </c>
      <c r="F10" s="181" t="s">
        <v>52</v>
      </c>
      <c r="G10" s="20"/>
      <c r="H10" s="20"/>
      <c r="I10" s="21"/>
    </row>
    <row r="11" spans="1:9" ht="18" customHeight="1" x14ac:dyDescent="0.25">
      <c r="A11" s="170" t="s">
        <v>12</v>
      </c>
      <c r="B11" s="222">
        <v>550</v>
      </c>
      <c r="C11" s="222">
        <v>750</v>
      </c>
      <c r="D11" s="222">
        <v>1000</v>
      </c>
      <c r="E11" s="173" t="s">
        <v>95</v>
      </c>
      <c r="F11" s="181" t="s">
        <v>52</v>
      </c>
      <c r="G11" s="20"/>
      <c r="H11" s="20"/>
      <c r="I11" s="21"/>
    </row>
    <row r="12" spans="1:9" ht="18" customHeight="1" x14ac:dyDescent="0.25">
      <c r="A12" s="170" t="s">
        <v>75</v>
      </c>
      <c r="B12" s="172">
        <f>POWER(10,$C$10/20)/(D11/1000000)/1000000</f>
        <v>1.7782794100389243</v>
      </c>
      <c r="C12" s="172">
        <f>POWER(10,$C$10/20)/(C11/1000000)/1000000</f>
        <v>2.3710392133852327</v>
      </c>
      <c r="D12" s="172">
        <f>POWER(10,$C$10/20)/(B11/1000000)/1000000</f>
        <v>3.2332352909798621</v>
      </c>
      <c r="E12" s="173" t="s">
        <v>76</v>
      </c>
      <c r="F12" s="181" t="s">
        <v>44</v>
      </c>
      <c r="G12" s="20"/>
      <c r="H12" s="20"/>
      <c r="I12" s="21"/>
    </row>
    <row r="13" spans="1:9" ht="18" customHeight="1" x14ac:dyDescent="0.25">
      <c r="A13" s="170" t="s">
        <v>0</v>
      </c>
      <c r="B13" s="280">
        <v>3.5</v>
      </c>
      <c r="C13" s="225">
        <v>4.7</v>
      </c>
      <c r="D13" s="226">
        <v>5.9</v>
      </c>
      <c r="E13" s="173" t="s">
        <v>3</v>
      </c>
      <c r="F13" s="181" t="s">
        <v>52</v>
      </c>
      <c r="G13" s="20"/>
      <c r="H13" s="20"/>
      <c r="I13" s="21"/>
    </row>
    <row r="14" spans="1:9" ht="18" customHeight="1" x14ac:dyDescent="0.25">
      <c r="A14" s="421" t="s">
        <v>225</v>
      </c>
      <c r="B14" s="185">
        <v>0.35</v>
      </c>
      <c r="C14" s="176">
        <v>0.44</v>
      </c>
      <c r="D14" s="185">
        <v>0.53</v>
      </c>
      <c r="E14" s="419" t="s">
        <v>240</v>
      </c>
      <c r="F14" s="181" t="s">
        <v>226</v>
      </c>
      <c r="G14" s="224">
        <v>0.4</v>
      </c>
      <c r="H14" s="59" t="s">
        <v>16</v>
      </c>
      <c r="I14" s="21"/>
    </row>
    <row r="15" spans="1:9" ht="18" customHeight="1" x14ac:dyDescent="0.25">
      <c r="A15" s="422"/>
      <c r="B15" s="281">
        <v>1.76</v>
      </c>
      <c r="C15" s="176">
        <v>2.2000000000000002</v>
      </c>
      <c r="D15" s="281">
        <v>2.64</v>
      </c>
      <c r="E15" s="420"/>
      <c r="F15" s="181" t="s">
        <v>226</v>
      </c>
      <c r="G15" s="224">
        <v>2</v>
      </c>
      <c r="H15" s="59" t="s">
        <v>16</v>
      </c>
      <c r="I15" s="21"/>
    </row>
    <row r="16" spans="1:9" ht="18" customHeight="1" x14ac:dyDescent="0.25">
      <c r="A16" s="170" t="s">
        <v>164</v>
      </c>
      <c r="B16" s="282">
        <v>0.25</v>
      </c>
      <c r="C16" s="56" t="s">
        <v>21</v>
      </c>
      <c r="D16" s="282">
        <v>2.2000000000000002</v>
      </c>
      <c r="E16" s="173" t="s">
        <v>16</v>
      </c>
      <c r="F16" s="181" t="s">
        <v>50</v>
      </c>
      <c r="G16" s="20"/>
      <c r="H16" s="20"/>
      <c r="I16" s="21"/>
    </row>
    <row r="17" spans="1:9" ht="18" customHeight="1" x14ac:dyDescent="0.25">
      <c r="A17" s="170" t="s">
        <v>38</v>
      </c>
      <c r="B17" s="248">
        <v>-10</v>
      </c>
      <c r="C17" s="56" t="s">
        <v>21</v>
      </c>
      <c r="D17" s="248">
        <v>10</v>
      </c>
      <c r="E17" s="173" t="s">
        <v>23</v>
      </c>
      <c r="F17" s="181" t="s">
        <v>50</v>
      </c>
      <c r="G17" s="20"/>
      <c r="H17" s="20"/>
      <c r="I17" s="21"/>
    </row>
    <row r="18" spans="1:9" ht="18" customHeight="1" x14ac:dyDescent="0.25">
      <c r="A18" s="170" t="s">
        <v>91</v>
      </c>
      <c r="B18" s="56" t="s">
        <v>21</v>
      </c>
      <c r="C18" s="283">
        <v>85</v>
      </c>
      <c r="D18" s="171">
        <v>120</v>
      </c>
      <c r="E18" s="173" t="s">
        <v>4</v>
      </c>
      <c r="F18" s="181" t="s">
        <v>89</v>
      </c>
      <c r="G18" s="20"/>
      <c r="H18" s="20"/>
      <c r="I18" s="21"/>
    </row>
    <row r="19" spans="1:9" ht="18" customHeight="1" x14ac:dyDescent="0.25">
      <c r="A19" s="170" t="s">
        <v>92</v>
      </c>
      <c r="B19" s="56" t="s">
        <v>21</v>
      </c>
      <c r="C19" s="283">
        <v>85</v>
      </c>
      <c r="D19" s="171">
        <v>120</v>
      </c>
      <c r="E19" s="173" t="s">
        <v>4</v>
      </c>
      <c r="F19" s="181" t="s">
        <v>90</v>
      </c>
      <c r="G19" s="20"/>
      <c r="H19" s="20"/>
      <c r="I19" s="21"/>
    </row>
    <row r="20" spans="1:9" ht="18" customHeight="1" x14ac:dyDescent="0.25">
      <c r="A20" s="170" t="s">
        <v>161</v>
      </c>
      <c r="B20" s="56" t="s">
        <v>21</v>
      </c>
      <c r="C20" s="177">
        <v>4.5</v>
      </c>
      <c r="D20" s="56" t="s">
        <v>21</v>
      </c>
      <c r="E20" s="173" t="s">
        <v>5</v>
      </c>
      <c r="F20" s="181" t="s">
        <v>52</v>
      </c>
      <c r="G20" s="20"/>
      <c r="H20" s="20"/>
      <c r="I20" s="21"/>
    </row>
    <row r="21" spans="1:9" ht="18" customHeight="1" x14ac:dyDescent="0.25">
      <c r="A21" s="170" t="s">
        <v>298</v>
      </c>
      <c r="B21" s="56" t="s">
        <v>21</v>
      </c>
      <c r="C21" s="56">
        <v>80</v>
      </c>
      <c r="D21" s="56">
        <v>110</v>
      </c>
      <c r="E21" s="173" t="s">
        <v>86</v>
      </c>
      <c r="F21" s="181" t="s">
        <v>52</v>
      </c>
      <c r="G21" s="20"/>
      <c r="H21" s="20"/>
      <c r="I21" s="21"/>
    </row>
    <row r="22" spans="1:9" ht="18" customHeight="1" x14ac:dyDescent="0.25">
      <c r="A22" s="170" t="s">
        <v>93</v>
      </c>
      <c r="B22" s="56" t="s">
        <v>21</v>
      </c>
      <c r="C22" s="56">
        <v>0.65</v>
      </c>
      <c r="D22" s="56" t="s">
        <v>21</v>
      </c>
      <c r="E22" s="173" t="s">
        <v>94</v>
      </c>
      <c r="F22" s="181" t="s">
        <v>51</v>
      </c>
      <c r="G22" s="20"/>
      <c r="H22" s="20"/>
      <c r="I22" s="21"/>
    </row>
    <row r="23" spans="1:9" ht="18" customHeight="1" x14ac:dyDescent="0.25">
      <c r="A23" s="170" t="s">
        <v>153</v>
      </c>
      <c r="B23" s="56" t="s">
        <v>21</v>
      </c>
      <c r="C23" s="173">
        <v>5</v>
      </c>
      <c r="D23" s="56" t="s">
        <v>21</v>
      </c>
      <c r="E23" s="173" t="s">
        <v>2</v>
      </c>
      <c r="F23" s="181" t="s">
        <v>51</v>
      </c>
      <c r="G23" s="20"/>
      <c r="H23" s="20"/>
      <c r="I23" s="21"/>
    </row>
    <row r="24" spans="1:9" ht="18" customHeight="1" x14ac:dyDescent="0.25">
      <c r="A24" s="170" t="s">
        <v>283</v>
      </c>
      <c r="B24" s="56" t="s">
        <v>21</v>
      </c>
      <c r="C24" s="56" t="s">
        <v>21</v>
      </c>
      <c r="D24" s="239">
        <v>5.7</v>
      </c>
      <c r="E24" s="173" t="s">
        <v>9</v>
      </c>
      <c r="F24" s="181" t="s">
        <v>51</v>
      </c>
      <c r="G24" s="20"/>
      <c r="H24" s="20"/>
      <c r="I24" s="21"/>
    </row>
    <row r="25" spans="1:9" ht="18" customHeight="1" x14ac:dyDescent="0.25">
      <c r="A25" s="170" t="s">
        <v>7</v>
      </c>
      <c r="B25" s="56" t="s">
        <v>21</v>
      </c>
      <c r="C25" s="178">
        <v>1.5</v>
      </c>
      <c r="D25" s="248" t="s">
        <v>21</v>
      </c>
      <c r="E25" s="173" t="s">
        <v>6</v>
      </c>
      <c r="F25" s="181" t="s">
        <v>154</v>
      </c>
      <c r="G25" s="20"/>
      <c r="H25" s="20"/>
      <c r="I25" s="21"/>
    </row>
    <row r="26" spans="1:9" ht="18" customHeight="1" x14ac:dyDescent="0.25">
      <c r="A26" s="170" t="s">
        <v>8</v>
      </c>
      <c r="B26" s="56" t="s">
        <v>21</v>
      </c>
      <c r="C26" s="178">
        <v>1.8</v>
      </c>
      <c r="D26" s="56" t="s">
        <v>21</v>
      </c>
      <c r="E26" s="173" t="s">
        <v>6</v>
      </c>
      <c r="F26" s="181" t="s">
        <v>154</v>
      </c>
      <c r="G26" s="20"/>
      <c r="H26" s="20"/>
      <c r="I26" s="21"/>
    </row>
    <row r="27" spans="1:9" ht="18" customHeight="1" x14ac:dyDescent="0.25">
      <c r="A27" s="170" t="s">
        <v>37</v>
      </c>
      <c r="B27" s="56" t="s">
        <v>21</v>
      </c>
      <c r="C27" s="173">
        <v>10</v>
      </c>
      <c r="D27" s="56" t="s">
        <v>21</v>
      </c>
      <c r="E27" s="173" t="s">
        <v>96</v>
      </c>
      <c r="F27" s="181" t="s">
        <v>52</v>
      </c>
      <c r="G27" s="20"/>
      <c r="H27" s="20"/>
      <c r="I27" s="21"/>
    </row>
    <row r="28" spans="1:9" ht="18" customHeight="1" x14ac:dyDescent="0.25">
      <c r="A28" s="170" t="s">
        <v>271</v>
      </c>
      <c r="B28" s="56" t="s">
        <v>21</v>
      </c>
      <c r="C28" s="173">
        <v>400</v>
      </c>
      <c r="D28" s="56" t="s">
        <v>21</v>
      </c>
      <c r="E28" s="173" t="s">
        <v>19</v>
      </c>
      <c r="F28" s="181" t="s">
        <v>52</v>
      </c>
      <c r="G28" s="20"/>
      <c r="H28" s="20"/>
      <c r="I28" s="21"/>
    </row>
    <row r="29" spans="1:9" ht="18" customHeight="1" x14ac:dyDescent="0.25">
      <c r="A29" s="170" t="s">
        <v>291</v>
      </c>
      <c r="B29" s="178">
        <v>2.4</v>
      </c>
      <c r="C29" s="56">
        <v>2.8</v>
      </c>
      <c r="D29" s="56">
        <v>3.4</v>
      </c>
      <c r="E29" s="173" t="s">
        <v>13</v>
      </c>
      <c r="F29" s="181" t="s">
        <v>289</v>
      </c>
      <c r="G29" s="20"/>
      <c r="H29" s="20"/>
      <c r="I29" s="21"/>
    </row>
    <row r="30" spans="1:9" ht="18" customHeight="1" x14ac:dyDescent="0.25">
      <c r="A30" s="170" t="s">
        <v>292</v>
      </c>
      <c r="B30" s="178">
        <v>3.9</v>
      </c>
      <c r="C30" s="56">
        <v>4.5</v>
      </c>
      <c r="D30" s="56">
        <v>5.0999999999999996</v>
      </c>
      <c r="E30" s="173" t="s">
        <v>13</v>
      </c>
      <c r="F30" s="181" t="s">
        <v>290</v>
      </c>
      <c r="G30" s="20"/>
      <c r="H30" s="20"/>
      <c r="I30" s="21"/>
    </row>
    <row r="31" spans="1:9" ht="18" customHeight="1" thickBot="1" x14ac:dyDescent="0.3">
      <c r="A31" s="61" t="s">
        <v>189</v>
      </c>
      <c r="B31" s="62" t="s">
        <v>21</v>
      </c>
      <c r="C31" s="179">
        <v>0.39300000000000002</v>
      </c>
      <c r="D31" s="62" t="s">
        <v>21</v>
      </c>
      <c r="E31" s="180" t="s">
        <v>190</v>
      </c>
      <c r="F31" s="182" t="s">
        <v>195</v>
      </c>
      <c r="G31" s="25"/>
      <c r="H31" s="25"/>
      <c r="I31" s="26"/>
    </row>
    <row r="32" spans="1:9" ht="15.75" thickBot="1" x14ac:dyDescent="0.3"/>
    <row r="33" spans="1:17" s="4" customFormat="1" ht="18" customHeight="1" x14ac:dyDescent="0.25">
      <c r="A33" s="416" t="s">
        <v>111</v>
      </c>
      <c r="B33" s="417"/>
      <c r="C33" s="417"/>
      <c r="D33" s="417"/>
      <c r="E33" s="417"/>
      <c r="F33" s="417"/>
      <c r="G33" s="418"/>
    </row>
    <row r="34" spans="1:17" x14ac:dyDescent="0.25">
      <c r="A34" s="19" t="s">
        <v>98</v>
      </c>
      <c r="B34" s="23">
        <v>3.3</v>
      </c>
      <c r="C34" s="23" t="s">
        <v>2</v>
      </c>
      <c r="D34" s="27" t="s">
        <v>112</v>
      </c>
      <c r="E34" s="23"/>
      <c r="F34" s="20"/>
      <c r="G34" s="21"/>
    </row>
    <row r="35" spans="1:17" ht="18" x14ac:dyDescent="0.35">
      <c r="A35" s="19" t="s">
        <v>136</v>
      </c>
      <c r="B35" s="23">
        <v>2</v>
      </c>
      <c r="C35" s="23" t="s">
        <v>13</v>
      </c>
      <c r="D35" s="27" t="s">
        <v>137</v>
      </c>
      <c r="E35" s="23"/>
      <c r="F35" s="20"/>
      <c r="G35" s="21"/>
      <c r="Q35" s="122"/>
    </row>
    <row r="36" spans="1:17" x14ac:dyDescent="0.25">
      <c r="A36" s="19" t="s">
        <v>103</v>
      </c>
      <c r="B36" s="23">
        <v>1.1000000000000001</v>
      </c>
      <c r="C36" s="23" t="s">
        <v>13</v>
      </c>
      <c r="D36" s="27" t="s">
        <v>130</v>
      </c>
      <c r="E36" s="23"/>
      <c r="F36" s="20"/>
      <c r="G36" s="21"/>
    </row>
    <row r="37" spans="1:17" ht="18" x14ac:dyDescent="0.35">
      <c r="A37" s="19" t="s">
        <v>138</v>
      </c>
      <c r="B37" s="76">
        <f>100*B36/B35</f>
        <v>55.000000000000007</v>
      </c>
      <c r="C37" s="23" t="s">
        <v>23</v>
      </c>
      <c r="D37" s="27" t="s">
        <v>141</v>
      </c>
      <c r="E37" s="23"/>
      <c r="F37" s="20"/>
      <c r="G37" s="21"/>
    </row>
    <row r="38" spans="1:17" x14ac:dyDescent="0.25">
      <c r="A38" s="19" t="s">
        <v>99</v>
      </c>
      <c r="B38" s="23">
        <v>1</v>
      </c>
      <c r="C38" s="22" t="s">
        <v>21</v>
      </c>
      <c r="D38" s="27" t="s">
        <v>142</v>
      </c>
      <c r="E38" s="23"/>
      <c r="F38" s="20"/>
      <c r="G38" s="21"/>
    </row>
    <row r="39" spans="1:17" ht="18" x14ac:dyDescent="0.35">
      <c r="A39" s="19" t="s">
        <v>114</v>
      </c>
      <c r="B39" s="23">
        <v>2</v>
      </c>
      <c r="C39" s="23" t="s">
        <v>16</v>
      </c>
      <c r="D39" s="27" t="s">
        <v>115</v>
      </c>
      <c r="E39" s="23"/>
      <c r="F39" s="20"/>
      <c r="G39" s="21"/>
    </row>
    <row r="40" spans="1:17" x14ac:dyDescent="0.25">
      <c r="A40" s="19" t="s">
        <v>104</v>
      </c>
      <c r="B40" s="23">
        <v>128</v>
      </c>
      <c r="C40" s="23" t="s">
        <v>19</v>
      </c>
      <c r="D40" s="27" t="s">
        <v>223</v>
      </c>
      <c r="E40" s="23"/>
      <c r="F40" s="20"/>
      <c r="G40" s="21"/>
    </row>
    <row r="41" spans="1:17" x14ac:dyDescent="0.25">
      <c r="A41" s="19" t="s">
        <v>100</v>
      </c>
      <c r="B41" s="23">
        <v>10</v>
      </c>
      <c r="C41" s="23" t="s">
        <v>23</v>
      </c>
      <c r="D41" s="27" t="s">
        <v>113</v>
      </c>
      <c r="E41" s="23"/>
      <c r="F41" s="20"/>
      <c r="G41" s="21"/>
    </row>
    <row r="42" spans="1:17" x14ac:dyDescent="0.25">
      <c r="A42" s="19" t="s">
        <v>25</v>
      </c>
      <c r="B42" s="76">
        <v>6</v>
      </c>
      <c r="C42" s="23" t="s">
        <v>101</v>
      </c>
      <c r="D42" s="27" t="s">
        <v>105</v>
      </c>
      <c r="E42" s="23"/>
      <c r="F42" s="20"/>
      <c r="G42" s="21"/>
    </row>
    <row r="43" spans="1:17" x14ac:dyDescent="0.25">
      <c r="A43" s="19" t="s">
        <v>26</v>
      </c>
      <c r="B43" s="23">
        <v>1.8</v>
      </c>
      <c r="C43" s="23" t="s">
        <v>27</v>
      </c>
      <c r="D43" s="27" t="s">
        <v>105</v>
      </c>
      <c r="E43" s="23"/>
      <c r="F43" s="20"/>
      <c r="G43" s="21"/>
    </row>
    <row r="44" spans="1:17" x14ac:dyDescent="0.25">
      <c r="A44" s="19" t="s">
        <v>108</v>
      </c>
      <c r="B44" s="76">
        <v>0.8</v>
      </c>
      <c r="C44" s="24">
        <v>9.9600000000000009</v>
      </c>
      <c r="D44" s="22" t="s">
        <v>144</v>
      </c>
      <c r="E44" s="27" t="s">
        <v>106</v>
      </c>
      <c r="F44" s="20"/>
      <c r="G44" s="21"/>
    </row>
    <row r="45" spans="1:17" x14ac:dyDescent="0.25">
      <c r="A45" s="19" t="s">
        <v>108</v>
      </c>
      <c r="B45" s="76">
        <v>2</v>
      </c>
      <c r="C45" s="24">
        <v>9.8000000000000007</v>
      </c>
      <c r="D45" s="22" t="s">
        <v>144</v>
      </c>
      <c r="E45" s="27" t="s">
        <v>106</v>
      </c>
      <c r="F45" s="20"/>
      <c r="G45" s="21"/>
    </row>
    <row r="46" spans="1:17" x14ac:dyDescent="0.25">
      <c r="A46" s="19" t="s">
        <v>108</v>
      </c>
      <c r="B46" s="76">
        <v>3.3</v>
      </c>
      <c r="C46" s="24">
        <v>9.5</v>
      </c>
      <c r="D46" s="22" t="s">
        <v>144</v>
      </c>
      <c r="E46" s="27" t="s">
        <v>106</v>
      </c>
      <c r="F46" s="20"/>
      <c r="G46" s="21"/>
    </row>
    <row r="47" spans="1:17" x14ac:dyDescent="0.25">
      <c r="A47" s="19" t="s">
        <v>108</v>
      </c>
      <c r="B47" s="76">
        <v>5</v>
      </c>
      <c r="C47" s="24">
        <v>8.85</v>
      </c>
      <c r="D47" s="22" t="s">
        <v>144</v>
      </c>
      <c r="E47" s="27" t="s">
        <v>106</v>
      </c>
      <c r="F47" s="20"/>
      <c r="G47" s="21"/>
    </row>
    <row r="48" spans="1:17" x14ac:dyDescent="0.25">
      <c r="A48" s="19" t="s">
        <v>108</v>
      </c>
      <c r="B48" s="76">
        <v>8</v>
      </c>
      <c r="C48" s="24">
        <v>7.48</v>
      </c>
      <c r="D48" s="22" t="s">
        <v>144</v>
      </c>
      <c r="E48" s="27" t="s">
        <v>106</v>
      </c>
      <c r="F48" s="20"/>
      <c r="G48" s="21"/>
    </row>
    <row r="49" spans="1:12" ht="17.25" x14ac:dyDescent="0.25">
      <c r="A49" s="55" t="s">
        <v>109</v>
      </c>
      <c r="B49" s="56" t="s">
        <v>21</v>
      </c>
      <c r="C49" s="57">
        <v>3.3999999999999998E-3</v>
      </c>
      <c r="D49" s="56" t="s">
        <v>145</v>
      </c>
      <c r="E49" s="58" t="s">
        <v>127</v>
      </c>
      <c r="F49" s="59"/>
      <c r="G49" s="60"/>
    </row>
    <row r="50" spans="1:12" ht="17.25" x14ac:dyDescent="0.25">
      <c r="A50" s="55" t="s">
        <v>109</v>
      </c>
      <c r="B50" s="56" t="s">
        <v>21</v>
      </c>
      <c r="C50" s="57">
        <v>-7.4300000000000005E-2</v>
      </c>
      <c r="D50" s="56" t="s">
        <v>147</v>
      </c>
      <c r="E50" s="58" t="s">
        <v>128</v>
      </c>
      <c r="F50" s="59"/>
      <c r="G50" s="60"/>
    </row>
    <row r="51" spans="1:12" x14ac:dyDescent="0.25">
      <c r="A51" s="55" t="s">
        <v>109</v>
      </c>
      <c r="B51" s="56" t="s">
        <v>21</v>
      </c>
      <c r="C51" s="57">
        <v>6.83E-2</v>
      </c>
      <c r="D51" s="56" t="s">
        <v>146</v>
      </c>
      <c r="E51" s="58" t="s">
        <v>129</v>
      </c>
      <c r="F51" s="59"/>
      <c r="G51" s="60"/>
    </row>
    <row r="52" spans="1:12" ht="15.75" thickBot="1" x14ac:dyDescent="0.3">
      <c r="A52" s="61" t="s">
        <v>109</v>
      </c>
      <c r="B52" s="62" t="s">
        <v>21</v>
      </c>
      <c r="C52" s="63">
        <v>9.9469999999999992</v>
      </c>
      <c r="D52" s="62" t="s">
        <v>102</v>
      </c>
      <c r="E52" s="64" t="s">
        <v>148</v>
      </c>
      <c r="F52" s="65"/>
      <c r="G52" s="66"/>
    </row>
    <row r="54" spans="1:12" ht="18" customHeight="1" x14ac:dyDescent="0.3">
      <c r="A54" s="411"/>
      <c r="B54" s="411"/>
      <c r="C54" s="411"/>
      <c r="F54" s="187" t="s">
        <v>238</v>
      </c>
    </row>
    <row r="55" spans="1:12" ht="18" x14ac:dyDescent="0.25">
      <c r="A55" s="265"/>
      <c r="B55" s="265"/>
      <c r="C55" s="265"/>
      <c r="F55" s="186" t="s">
        <v>239</v>
      </c>
      <c r="G55" s="189">
        <f>B14+(B15-B14)/(G15-G14)*(IF(ISBLANK(Design!B46),Design!#REF!,Design!B46)-G14)</f>
        <v>0.35</v>
      </c>
      <c r="H55" s="189">
        <f>C14+(C15-C14)/(G15-G14)*(IF(ISBLANK(Design!B46),Design!#REF!,Design!B46)-G14)</f>
        <v>0.44</v>
      </c>
      <c r="I55" s="189">
        <f>D14+(D15-D14)/(G15-G14)*(IF(ISBLANK(Design!B46),Design!#REF!,Design!B46)-G14)</f>
        <v>0.53</v>
      </c>
      <c r="J55" s="188" t="s">
        <v>240</v>
      </c>
      <c r="L55" s="122"/>
    </row>
    <row r="56" spans="1:12" x14ac:dyDescent="0.25">
      <c r="A56" s="265"/>
      <c r="B56" s="265"/>
      <c r="C56" s="265"/>
      <c r="G56" s="1"/>
    </row>
    <row r="58" spans="1:12" ht="18.75" x14ac:dyDescent="0.3">
      <c r="A58" s="411"/>
      <c r="B58" s="411"/>
      <c r="C58" s="411"/>
      <c r="D58" s="411"/>
      <c r="F58" s="187"/>
    </row>
    <row r="59" spans="1:12" ht="18" customHeight="1" x14ac:dyDescent="0.25">
      <c r="A59" s="265"/>
      <c r="B59" s="412"/>
      <c r="C59" s="412"/>
      <c r="D59" s="265"/>
      <c r="F59" s="188"/>
      <c r="H59" s="189"/>
      <c r="I59" s="186"/>
    </row>
    <row r="60" spans="1:12" ht="18" customHeight="1" x14ac:dyDescent="0.25">
      <c r="A60" s="266"/>
      <c r="B60" s="267"/>
      <c r="C60" s="267"/>
      <c r="D60" s="266"/>
      <c r="F60" s="188"/>
      <c r="H60" s="199"/>
      <c r="I60" s="186"/>
    </row>
    <row r="61" spans="1:12" ht="18" customHeight="1" x14ac:dyDescent="0.25">
      <c r="A61" s="265"/>
      <c r="B61" s="268"/>
      <c r="C61" s="268"/>
      <c r="D61" s="265"/>
      <c r="F61" s="186"/>
      <c r="H61" s="200"/>
      <c r="I61" s="186"/>
    </row>
    <row r="62" spans="1:12" x14ac:dyDescent="0.25">
      <c r="A62" s="265"/>
      <c r="B62" s="268"/>
      <c r="C62" s="268"/>
      <c r="D62" s="265"/>
      <c r="F62" s="198"/>
      <c r="G62" s="154"/>
      <c r="H62" s="199"/>
      <c r="I62" s="198"/>
    </row>
    <row r="63" spans="1:12" s="154" customFormat="1" ht="18" customHeight="1" x14ac:dyDescent="0.25">
      <c r="A63" s="265"/>
      <c r="B63" s="268"/>
      <c r="C63" s="268"/>
      <c r="D63" s="265"/>
      <c r="E63" s="183"/>
    </row>
  </sheetData>
  <sheetProtection algorithmName="SHA-512" hashValue="GtX7bxoZqltxjXE/S8UxcEUMtI/gmMnrOcBSoEfSnOeZ1lFBnmuUZqUO+ti/2K6brLxXUpQVhiTfyA/iZg+Fkg==" saltValue="F+OE9xJHnESXZN7J3UGxsA==" spinCount="100000" sheet="1" objects="1" scenarios="1" selectLockedCells="1"/>
  <mergeCells count="8">
    <mergeCell ref="A58:D58"/>
    <mergeCell ref="B59:C59"/>
    <mergeCell ref="F2:I2"/>
    <mergeCell ref="A1:I1"/>
    <mergeCell ref="A54:C54"/>
    <mergeCell ref="A33:G33"/>
    <mergeCell ref="E14:E15"/>
    <mergeCell ref="A14:A15"/>
  </mergeCells>
  <conditionalFormatting sqref="C44">
    <cfRule type="cellIs" priority="1" operator="notBetween">
      <formula>$D$18*Fsw/1000</formula>
      <formula>"1-Constants!$D$19*Fsw/1000"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25</vt:i4>
      </vt:variant>
    </vt:vector>
  </HeadingPairs>
  <TitlesOfParts>
    <vt:vector size="29" baseType="lpstr">
      <vt:lpstr>Design</vt:lpstr>
      <vt:lpstr>Snubber</vt:lpstr>
      <vt:lpstr>Efficiency</vt:lpstr>
      <vt:lpstr>Constants</vt:lpstr>
      <vt:lpstr>D_Buck0</vt:lpstr>
      <vt:lpstr>DBoost_MAX</vt:lpstr>
      <vt:lpstr>Fsw</vt:lpstr>
      <vt:lpstr>Fsw_Sel</vt:lpstr>
      <vt:lpstr>Iout</vt:lpstr>
      <vt:lpstr>Lo</vt:lpstr>
      <vt:lpstr>LoDCR</vt:lpstr>
      <vt:lpstr>Design!Print_Area</vt:lpstr>
      <vt:lpstr>Snubber!Print_Area</vt:lpstr>
      <vt:lpstr>Qg_boost</vt:lpstr>
      <vt:lpstr>Rds_boost_max</vt:lpstr>
      <vt:lpstr>RippleIout_percent</vt:lpstr>
      <vt:lpstr>RNG</vt:lpstr>
      <vt:lpstr>Rthja</vt:lpstr>
      <vt:lpstr>Snubber</vt:lpstr>
      <vt:lpstr>SysDuty_typ</vt:lpstr>
      <vt:lpstr>UVLO_Hysteresis</vt:lpstr>
      <vt:lpstr>UVLO_multip</vt:lpstr>
      <vt:lpstr>VF</vt:lpstr>
      <vt:lpstr>Vin_max</vt:lpstr>
      <vt:lpstr>Vin_min</vt:lpstr>
      <vt:lpstr>Vin_mode</vt:lpstr>
      <vt:lpstr>Vin_typ</vt:lpstr>
      <vt:lpstr>Vout_target</vt:lpstr>
      <vt:lpstr>Vout_typ</vt:lpstr>
    </vt:vector>
  </TitlesOfParts>
  <Company>Allegro MicroSystems LLC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Xiao</dc:creator>
  <cp:lastModifiedBy>Garvey, Richard</cp:lastModifiedBy>
  <cp:lastPrinted>2012-10-05T17:44:37Z</cp:lastPrinted>
  <dcterms:created xsi:type="dcterms:W3CDTF">2012-01-10T15:56:57Z</dcterms:created>
  <dcterms:modified xsi:type="dcterms:W3CDTF">2017-04-14T19:48:40Z</dcterms:modified>
</cp:coreProperties>
</file>