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egromicro-my.sharepoint.com/personal/slocke_allegromicro_com/Documents/Downloads/"/>
    </mc:Choice>
  </mc:AlternateContent>
  <xr:revisionPtr revIDLastSave="0" documentId="8_{20C3E055-B4D4-4184-B792-F28092732191}" xr6:coauthVersionLast="47" xr6:coauthVersionMax="47" xr10:uidLastSave="{00000000-0000-0000-0000-000000000000}"/>
  <bookViews>
    <workbookView xWindow="-108" yWindow="-108" windowWidth="23256" windowHeight="12576" xr2:uid="{0310E876-3C3B-4C23-B40C-13FD1090790E}"/>
  </bookViews>
  <sheets>
    <sheet name="Calculator" sheetId="1" r:id="rId1"/>
    <sheet name="Parameters" sheetId="2" r:id="rId2"/>
  </sheets>
  <definedNames>
    <definedName name="reset">Calculator!#REF!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2" i="1"/>
  <c r="C23" i="1"/>
  <c r="C21" i="1"/>
  <c r="C27" i="1"/>
  <c r="C41" i="1" l="1"/>
  <c r="C43" i="1" s="1"/>
  <c r="C34" i="1" s="1"/>
  <c r="C35" i="1" s="1"/>
  <c r="C44" i="1" s="1"/>
  <c r="D48" i="1"/>
  <c r="C48" i="1"/>
  <c r="D41" i="1"/>
  <c r="D43" i="1" s="1"/>
  <c r="D34" i="1" s="1"/>
  <c r="B48" i="1"/>
  <c r="B41" i="1"/>
  <c r="B43" i="1" s="1"/>
  <c r="B34" i="1" s="1"/>
  <c r="C38" i="1" s="1"/>
  <c r="D47" i="1"/>
  <c r="C47" i="1"/>
  <c r="B47" i="1"/>
  <c r="C26" i="1"/>
  <c r="C24" i="1"/>
  <c r="D35" i="1"/>
  <c r="D45" i="1" s="1"/>
  <c r="C37" i="1"/>
  <c r="B35" i="1" l="1"/>
  <c r="B45" i="1"/>
  <c r="B44" i="1"/>
  <c r="C45" i="1"/>
  <c r="B49" i="1"/>
  <c r="B46" i="1"/>
  <c r="D49" i="1"/>
  <c r="D46" i="1"/>
  <c r="C49" i="1"/>
  <c r="C46" i="1"/>
  <c r="D44" i="1"/>
  <c r="B42" i="1"/>
  <c r="D42" i="1"/>
  <c r="C42" i="1"/>
  <c r="B29" i="1"/>
  <c r="B28" i="1"/>
  <c r="B20" i="1"/>
  <c r="B19" i="1"/>
  <c r="D50" i="1" l="1"/>
  <c r="D52" i="1" s="1"/>
  <c r="B50" i="1"/>
  <c r="B52" i="1" s="1"/>
  <c r="C50" i="1"/>
  <c r="C52" i="1" s="1"/>
  <c r="F38" i="1"/>
  <c r="F37" i="1"/>
  <c r="D51" i="1" l="1"/>
  <c r="B51" i="1"/>
  <c r="C5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</future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<sst xmlns="http://schemas.openxmlformats.org/spreadsheetml/2006/main" count="127" uniqueCount="102">
  <si>
    <t>APM81815, Buck converter Component calculator</t>
  </si>
  <si>
    <t>INSTRUCTIONS:   Enter design goals and component values in the white boxes.
Ensure "Iterative Calculation" is enabled under File -&gt; Options -&gt; Formulas</t>
  </si>
  <si>
    <t>VARIABLES</t>
  </si>
  <si>
    <t>MIN</t>
  </si>
  <si>
    <t>TYP</t>
  </si>
  <si>
    <t>MAX</t>
  </si>
  <si>
    <t>UNITS</t>
  </si>
  <si>
    <t>COMMENTS</t>
  </si>
  <si>
    <t>Operating Input Voltage</t>
  </si>
  <si>
    <t>V</t>
  </si>
  <si>
    <t>Output voltage</t>
  </si>
  <si>
    <t>Select from drop down list</t>
  </si>
  <si>
    <t>Load current</t>
  </si>
  <si>
    <t>A</t>
  </si>
  <si>
    <t>Maximum 1.5 A</t>
  </si>
  <si>
    <t>Select frequency setting internal or external via SYNC pin</t>
  </si>
  <si>
    <t>Internal</t>
  </si>
  <si>
    <t xml:space="preserve">Is dither needed </t>
  </si>
  <si>
    <t>Yes</t>
  </si>
  <si>
    <t>Option available only with Internal clock, no dithering with external clock</t>
  </si>
  <si>
    <t>Switching Frequency Default (2.15MHz) or setting via RFSET</t>
  </si>
  <si>
    <t>Select Default or RFSET from drop down list</t>
  </si>
  <si>
    <t>Switching Frequency</t>
  </si>
  <si>
    <t>Fsw to be set by RFSET/Applied via SYNC in case of external setting</t>
  </si>
  <si>
    <t>Is Low power mode needed?</t>
  </si>
  <si>
    <t>Select if auto transition from switching to low power mode required</t>
  </si>
  <si>
    <t>Soft start time (Up to 43 ms)</t>
  </si>
  <si>
    <t>ms</t>
  </si>
  <si>
    <t>Ω</t>
  </si>
  <si>
    <t>"Blue" text is a recommended value</t>
  </si>
  <si>
    <t>External Components</t>
  </si>
  <si>
    <t>SYNC pin connection</t>
  </si>
  <si>
    <t>FSET pin connection</t>
  </si>
  <si>
    <t>Calculated RFSET</t>
  </si>
  <si>
    <t>kΩ</t>
  </si>
  <si>
    <t>Recommended Resistor from FSET to GND</t>
  </si>
  <si>
    <t xml:space="preserve">Selected RFSET </t>
  </si>
  <si>
    <t>Select close to recommended value</t>
  </si>
  <si>
    <t>Actual value of set Frequency</t>
  </si>
  <si>
    <t>µH</t>
  </si>
  <si>
    <t xml:space="preserve">Calculated value of output capacitor </t>
  </si>
  <si>
    <t>µF</t>
  </si>
  <si>
    <t>VS1 and VS2</t>
  </si>
  <si>
    <t>Position of LP/PWM pin</t>
  </si>
  <si>
    <t>Soft start pin</t>
  </si>
  <si>
    <t>Recommended value of Soft start capacitor (Css)</t>
  </si>
  <si>
    <t>nF</t>
  </si>
  <si>
    <t>Value of selected capacitor</t>
  </si>
  <si>
    <t>Actual value of SS time</t>
  </si>
  <si>
    <t>Duty Cycle Calculations</t>
  </si>
  <si>
    <t>Duty Cycle with Losses @maximum load current</t>
  </si>
  <si>
    <t>ton, toff Calculations @ worst case (For ton min and toff min check)</t>
  </si>
  <si>
    <t xml:space="preserve">ton @ Vinmax </t>
  </si>
  <si>
    <t>ns</t>
  </si>
  <si>
    <t xml:space="preserve">toff @ Vinmin </t>
  </si>
  <si>
    <t>Losses Caculations @ minimum load current &amp; minimum Vout</t>
  </si>
  <si>
    <t>@Vinmin</t>
  </si>
  <si>
    <t>@Vinnom</t>
  </si>
  <si>
    <t>@Vinmax</t>
  </si>
  <si>
    <t>W</t>
  </si>
  <si>
    <t>Power loss in High side FET (Conduction loss)</t>
  </si>
  <si>
    <t>Power loss in Low side FET (Conduction loss)</t>
  </si>
  <si>
    <t>Total Power Loss</t>
  </si>
  <si>
    <t>RDSON(High Side)</t>
  </si>
  <si>
    <t>RDSON(Low Side)</t>
  </si>
  <si>
    <t xml:space="preserve">RθJA </t>
  </si>
  <si>
    <t>°C/W</t>
  </si>
  <si>
    <t>Soft Start (Internal SS fixed=0.7ms)</t>
  </si>
  <si>
    <t>Internal SS is fixed to 0.7ms. Select external SS for longer SS times</t>
  </si>
  <si>
    <t>SW node rise SR</t>
  </si>
  <si>
    <t>SW node falling SR</t>
  </si>
  <si>
    <t>Selected Inductor</t>
  </si>
  <si>
    <t xml:space="preserve">Calculated value of Inductor </t>
  </si>
  <si>
    <t>Select Value close to calculated value, Maximum allowed value of inductor is 22µH</t>
  </si>
  <si>
    <t>kHz</t>
  </si>
  <si>
    <t>Inductor Current Ripple @maximum load current</t>
  </si>
  <si>
    <t>Total IC Power Loss</t>
  </si>
  <si>
    <t>Ambient Temperature</t>
  </si>
  <si>
    <t>Maximum Junction Temperature</t>
  </si>
  <si>
    <r>
      <t>°</t>
    </r>
    <r>
      <rPr>
        <sz val="12.65"/>
        <color theme="1"/>
        <rFont val="Calibri"/>
        <family val="2"/>
      </rPr>
      <t>C</t>
    </r>
  </si>
  <si>
    <t>°C</t>
  </si>
  <si>
    <t>Select close to recommended value (Between 3nF to 200nF)</t>
  </si>
  <si>
    <t>Choose values between 0.7ms to 42.9ms</t>
  </si>
  <si>
    <r>
      <t>Considered max values at T</t>
    </r>
    <r>
      <rPr>
        <sz val="8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=25°C</t>
    </r>
  </si>
  <si>
    <t>Driving/Quiescent power loss</t>
  </si>
  <si>
    <t>DC resistance of Inductor (DCR)</t>
  </si>
  <si>
    <t>AC resistance of Inductor (ACR) @ Switching Frequency</t>
  </si>
  <si>
    <t>ACR=12*Pac/(dIL^2)</t>
  </si>
  <si>
    <t>Power loss in Inductor (DC+AC)</t>
  </si>
  <si>
    <t>I-V overlap power loss</t>
  </si>
  <si>
    <t>Coss power loss</t>
  </si>
  <si>
    <t>Reverse recovery charge loss</t>
  </si>
  <si>
    <t>Coss,TOT</t>
  </si>
  <si>
    <t>F</t>
  </si>
  <si>
    <t>Cgs,TOT</t>
  </si>
  <si>
    <t>VCC</t>
  </si>
  <si>
    <t>QRR</t>
  </si>
  <si>
    <t>V/ns</t>
  </si>
  <si>
    <t>C</t>
  </si>
  <si>
    <t>Driving/Quiescent current</t>
  </si>
  <si>
    <t>Buck output current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</si>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</sst>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.65"/>
      <color theme="1"/>
      <name val="Calibri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4" fillId="6" borderId="1" xfId="0" applyFont="1" applyFill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5" fontId="5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1" xfId="0" quotePrefix="1" applyFill="1" applyBorder="1" applyAlignment="1">
      <alignment horizontal="center" vertical="center"/>
    </xf>
    <xf numFmtId="0" fontId="0" fillId="6" borderId="1" xfId="0" quotePrefix="1" applyFill="1" applyBorder="1" applyAlignment="1">
      <alignment vertical="center"/>
    </xf>
    <xf numFmtId="1" fontId="0" fillId="6" borderId="1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vertical="center"/>
    </xf>
    <xf numFmtId="0" fontId="0" fillId="6" borderId="3" xfId="0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8" fillId="6" borderId="1" xfId="0" applyFont="1" applyFill="1" applyBorder="1"/>
    <xf numFmtId="2" fontId="0" fillId="6" borderId="1" xfId="0" applyNumberForma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0" fontId="0" fillId="6" borderId="1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6" borderId="4" xfId="0" quotePrefix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1" fontId="0" fillId="0" borderId="0" xfId="0" applyNumberFormat="1" applyAlignment="1">
      <alignment horizontal="center" vertical="center"/>
    </xf>
    <xf numFmtId="164" fontId="0" fillId="6" borderId="1" xfId="0" quotePrefix="1" applyNumberFormat="1" applyFill="1" applyBorder="1" applyAlignment="1">
      <alignment horizontal="center" vertical="center"/>
    </xf>
    <xf numFmtId="164" fontId="0" fillId="6" borderId="4" xfId="0" quotePrefix="1" applyNumberForma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4"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5" tint="0.59996337778862885"/>
      </font>
    </dxf>
    <dxf>
      <font>
        <color theme="0"/>
      </font>
    </dxf>
    <dxf>
      <font>
        <color theme="5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59996337778862885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749612</xdr:colOff>
      <xdr:row>0</xdr:row>
      <xdr:rowOff>0</xdr:rowOff>
    </xdr:from>
    <xdr:to>
      <xdr:col>0</xdr:col>
      <xdr:colOff>2764390</xdr:colOff>
      <xdr:row>2</xdr:row>
      <xdr:rowOff>16600</xdr:rowOff>
    </xdr:to>
    <xdr:pic>
      <xdr:nvPicPr>
        <xdr:cNvPr id="2" name="Picture 1" descr="A close up of a sign&#10;&#10;Description automatically generated">
          <a:extLst>
            <a:ext uri="{FF2B5EF4-FFF2-40B4-BE49-F238E27FC236}">
              <a16:creationId xmlns:a16="http://schemas.microsoft.com/office/drawing/2014/main" id="{030F6401-92F8-BEED-79A2-CB59139ED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12" y="0"/>
          <a:ext cx="2020493" cy="79645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CF05-148C-42A2-90F9-CDE6A9DE8355}">
  <dimension ref="A1:F52"/>
  <sheetViews>
    <sheetView tabSelected="1" zoomScaleNormal="100" workbookViewId="0">
      <selection activeCell="D9" sqref="D9"/>
    </sheetView>
  </sheetViews>
  <sheetFormatPr defaultRowHeight="14.4" x14ac:dyDescent="0.3"/>
  <cols>
    <col min="1" max="1" width="51" style="17" bestFit="1" customWidth="1"/>
    <col min="2" max="3" width="17.33203125" style="2" customWidth="1"/>
    <col min="4" max="4" width="18.33203125" style="2" customWidth="1"/>
    <col min="5" max="5" width="12" style="2" customWidth="1"/>
    <col min="6" max="6" width="61" customWidth="1"/>
    <col min="7" max="7" width="26.6640625" customWidth="1"/>
  </cols>
  <sheetData>
    <row r="1" spans="1:6" ht="22.2" customHeight="1" x14ac:dyDescent="0.3">
      <c r="A1" s="45"/>
      <c r="B1" s="46" t="s">
        <v>0</v>
      </c>
      <c r="C1" s="46"/>
      <c r="D1" s="46"/>
      <c r="E1" s="46"/>
      <c r="F1" s="46"/>
    </row>
    <row r="2" spans="1:6" ht="39" customHeight="1" x14ac:dyDescent="0.3">
      <c r="A2" s="45"/>
      <c r="B2" s="47" t="s">
        <v>1</v>
      </c>
      <c r="C2" s="47"/>
      <c r="D2" s="47"/>
      <c r="E2" s="47"/>
      <c r="F2" s="47"/>
    </row>
    <row r="3" spans="1:6" ht="18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</row>
    <row r="4" spans="1:6" ht="16.8" x14ac:dyDescent="0.3">
      <c r="A4" s="15" t="s">
        <v>77</v>
      </c>
      <c r="B4" s="5"/>
      <c r="C4" s="5"/>
      <c r="D4" s="4">
        <v>125</v>
      </c>
      <c r="E4" s="32" t="s">
        <v>79</v>
      </c>
      <c r="F4" s="6"/>
    </row>
    <row r="5" spans="1:6" x14ac:dyDescent="0.3">
      <c r="A5" s="15" t="s">
        <v>8</v>
      </c>
      <c r="B5" s="4">
        <v>24</v>
      </c>
      <c r="C5" s="4">
        <v>48</v>
      </c>
      <c r="D5" s="4">
        <v>58</v>
      </c>
      <c r="E5" s="5" t="s">
        <v>9</v>
      </c>
      <c r="F5" s="6"/>
    </row>
    <row r="6" spans="1:6" x14ac:dyDescent="0.3">
      <c r="A6" s="15" t="s">
        <v>10</v>
      </c>
      <c r="B6" s="5"/>
      <c r="C6" s="3"/>
      <c r="D6" s="4">
        <v>12</v>
      </c>
      <c r="E6" s="5" t="s">
        <v>9</v>
      </c>
      <c r="F6" s="6" t="s">
        <v>11</v>
      </c>
    </row>
    <row r="7" spans="1:6" x14ac:dyDescent="0.3">
      <c r="A7" s="15" t="s">
        <v>12</v>
      </c>
      <c r="B7" s="5"/>
      <c r="C7" s="5"/>
      <c r="D7" s="4">
        <v>0.5</v>
      </c>
      <c r="E7" s="5" t="s">
        <v>13</v>
      </c>
      <c r="F7" s="6" t="s">
        <v>14</v>
      </c>
    </row>
    <row r="8" spans="1:6" x14ac:dyDescent="0.3">
      <c r="A8" s="15" t="s">
        <v>15</v>
      </c>
      <c r="B8" s="5"/>
      <c r="C8" s="4" t="s">
        <v>16</v>
      </c>
      <c r="D8" s="5"/>
      <c r="E8" s="5"/>
      <c r="F8" s="6"/>
    </row>
    <row r="9" spans="1:6" x14ac:dyDescent="0.3">
      <c r="A9" s="15" t="s">
        <v>17</v>
      </c>
      <c r="B9" s="5"/>
      <c r="C9" s="4" t="s">
        <v>18</v>
      </c>
      <c r="D9" s="5"/>
      <c r="E9" s="5"/>
      <c r="F9" s="6" t="s">
        <v>19</v>
      </c>
    </row>
    <row r="10" spans="1:6" x14ac:dyDescent="0.3">
      <c r="A10" s="15" t="s">
        <v>20</v>
      </c>
      <c r="B10" s="5"/>
      <c r="C10" s="27" t="s">
        <v>101</v>
      </c>
      <c r="D10" s="5"/>
      <c r="E10" s="5"/>
      <c r="F10" s="6" t="s">
        <v>21</v>
      </c>
    </row>
    <row r="11" spans="1:6" x14ac:dyDescent="0.3">
      <c r="A11" s="15" t="s">
        <v>22</v>
      </c>
      <c r="B11" s="5"/>
      <c r="C11" s="4">
        <v>2150</v>
      </c>
      <c r="D11" s="5"/>
      <c r="E11" s="5" t="s">
        <v>74</v>
      </c>
      <c r="F11" s="6" t="s">
        <v>23</v>
      </c>
    </row>
    <row r="12" spans="1:6" x14ac:dyDescent="0.3">
      <c r="A12" s="15" t="s">
        <v>24</v>
      </c>
      <c r="B12" s="5"/>
      <c r="C12" s="4" t="s">
        <v>18</v>
      </c>
      <c r="D12" s="5"/>
      <c r="E12" s="5"/>
      <c r="F12" s="6" t="s">
        <v>25</v>
      </c>
    </row>
    <row r="13" spans="1:6" x14ac:dyDescent="0.3">
      <c r="A13" s="15" t="s">
        <v>67</v>
      </c>
      <c r="B13" s="5"/>
      <c r="C13" s="4" t="s">
        <v>16</v>
      </c>
      <c r="D13" s="5"/>
      <c r="E13" s="5"/>
      <c r="F13" s="6" t="s">
        <v>68</v>
      </c>
    </row>
    <row r="14" spans="1:6" x14ac:dyDescent="0.3">
      <c r="A14" s="15" t="s">
        <v>26</v>
      </c>
      <c r="B14" s="5"/>
      <c r="C14" s="4">
        <v>10</v>
      </c>
      <c r="D14" s="5"/>
      <c r="E14" s="5" t="s">
        <v>27</v>
      </c>
      <c r="F14" s="6" t="s">
        <v>82</v>
      </c>
    </row>
    <row r="15" spans="1:6" x14ac:dyDescent="0.3">
      <c r="A15" s="15" t="s">
        <v>85</v>
      </c>
      <c r="B15" s="5"/>
      <c r="C15" s="4">
        <v>0.14699999999999999</v>
      </c>
      <c r="D15" s="5"/>
      <c r="E15" s="5" t="s">
        <v>28</v>
      </c>
      <c r="F15" s="6"/>
    </row>
    <row r="16" spans="1:6" x14ac:dyDescent="0.3">
      <c r="A16" s="15" t="s">
        <v>86</v>
      </c>
      <c r="B16" s="5"/>
      <c r="C16" s="4">
        <v>4.25</v>
      </c>
      <c r="D16" s="5"/>
      <c r="E16" s="5" t="s">
        <v>28</v>
      </c>
      <c r="F16" s="6" t="s">
        <v>87</v>
      </c>
    </row>
    <row r="17" spans="1:6" ht="18" x14ac:dyDescent="0.3">
      <c r="A17" s="47" t="s">
        <v>29</v>
      </c>
      <c r="B17" s="47"/>
      <c r="C17" s="47"/>
      <c r="D17" s="47"/>
      <c r="E17" s="47"/>
      <c r="F17" s="47"/>
    </row>
    <row r="18" spans="1:6" ht="18" x14ac:dyDescent="0.3">
      <c r="A18" s="40" t="s">
        <v>30</v>
      </c>
      <c r="B18" s="40"/>
      <c r="C18" s="40"/>
      <c r="D18" s="40"/>
      <c r="E18" s="40"/>
      <c r="F18" s="40"/>
    </row>
    <row r="19" spans="1:6" x14ac:dyDescent="0.3">
      <c r="A19" s="16" t="s">
        <v>31</v>
      </c>
      <c r="B19" s="48" t="str">
        <f>IF(C8="Internal",IF(C9="Yes","Connect SYNC pin to VCC","Connect SYNC pin to GND"),"Apply external Clock signal to SYNC pin")</f>
        <v>Connect SYNC pin to VCC</v>
      </c>
      <c r="C19" s="49"/>
      <c r="D19" s="50"/>
      <c r="E19" s="7"/>
      <c r="F19" s="7"/>
    </row>
    <row r="20" spans="1:6" x14ac:dyDescent="0.3">
      <c r="A20" s="16" t="s">
        <v>32</v>
      </c>
      <c r="B20" s="41" t="str">
        <f>IF(C8="Internal",IF(C10="RFSET","Connect resistor from FSET to GND","Connect FSET pin to VCC"),"Connect resistor from FSET to GND")</f>
        <v>Connect FSET pin to VCC</v>
      </c>
      <c r="C20" s="41"/>
      <c r="D20" s="41"/>
      <c r="E20" s="9"/>
      <c r="F20" s="8"/>
    </row>
    <row r="21" spans="1:6" x14ac:dyDescent="0.3">
      <c r="A21" s="16" t="s">
        <v>33</v>
      </c>
      <c r="B21" s="9"/>
      <c r="C21" s="11">
        <f>79200/(C11-27)-7.3</f>
        <v>30.005699481865282</v>
      </c>
      <c r="D21" s="9"/>
      <c r="E21" s="9" t="s">
        <v>34</v>
      </c>
      <c r="F21" s="8" t="s">
        <v>35</v>
      </c>
    </row>
    <row r="22" spans="1:6" x14ac:dyDescent="0.3">
      <c r="A22" s="16" t="s">
        <v>36</v>
      </c>
      <c r="B22" s="9"/>
      <c r="C22" s="4">
        <v>205</v>
      </c>
      <c r="D22" s="9"/>
      <c r="E22" s="9" t="s">
        <v>34</v>
      </c>
      <c r="F22" s="8" t="s">
        <v>37</v>
      </c>
    </row>
    <row r="23" spans="1:6" x14ac:dyDescent="0.3">
      <c r="A23" s="16" t="s">
        <v>38</v>
      </c>
      <c r="B23" s="9"/>
      <c r="C23" s="26">
        <f>IF(C10="Default",2150,(79200/(C22+7.3)+27))</f>
        <v>2150</v>
      </c>
      <c r="D23" s="9"/>
      <c r="E23" s="9" t="s">
        <v>74</v>
      </c>
      <c r="F23" s="8"/>
    </row>
    <row r="24" spans="1:6" x14ac:dyDescent="0.3">
      <c r="A24" s="16" t="s">
        <v>72</v>
      </c>
      <c r="B24" s="9"/>
      <c r="C24" s="12">
        <f>7250/C23</f>
        <v>3.3720930232558142</v>
      </c>
      <c r="D24" s="9"/>
      <c r="E24" s="9" t="s">
        <v>39</v>
      </c>
      <c r="F24" s="42" t="s">
        <v>73</v>
      </c>
    </row>
    <row r="25" spans="1:6" x14ac:dyDescent="0.3">
      <c r="A25" s="16" t="s">
        <v>71</v>
      </c>
      <c r="B25" s="9"/>
      <c r="C25" s="28">
        <v>4.7</v>
      </c>
      <c r="D25" s="9"/>
      <c r="E25" s="9" t="s">
        <v>39</v>
      </c>
      <c r="F25" s="43"/>
    </row>
    <row r="26" spans="1:6" x14ac:dyDescent="0.3">
      <c r="A26" s="16" t="s">
        <v>40</v>
      </c>
      <c r="B26" s="9"/>
      <c r="C26" s="11">
        <f>164000/(D6*C23)</f>
        <v>6.3565891472868215</v>
      </c>
      <c r="D26" s="12"/>
      <c r="E26" s="9" t="s">
        <v>41</v>
      </c>
      <c r="F26" s="44"/>
    </row>
    <row r="27" spans="1:6" x14ac:dyDescent="0.3">
      <c r="A27" s="16" t="s">
        <v>42</v>
      </c>
      <c r="B27" s="9"/>
      <c r="C27" s="9" t="str">
        <f>IF(D6=3.3,"VS1=0,VS2=0",IF(D6=5,"VS1=0,VS2=1",IF(D6=5.35,"VS1=1,VS2=0","VS1=1,VS2=1")))</f>
        <v>VS1=1,VS2=1</v>
      </c>
      <c r="D27" s="9"/>
      <c r="E27" s="9"/>
      <c r="F27" s="22"/>
    </row>
    <row r="28" spans="1:6" x14ac:dyDescent="0.3">
      <c r="A28" s="16" t="s">
        <v>43</v>
      </c>
      <c r="B28" s="41" t="str">
        <f>IF(C12="Yes","Connect LP/PWM pin to GND","Connect LP/PWM pin to VCC")</f>
        <v>Connect LP/PWM pin to GND</v>
      </c>
      <c r="C28" s="41"/>
      <c r="D28" s="41"/>
      <c r="E28" s="9"/>
      <c r="F28" s="8"/>
    </row>
    <row r="29" spans="1:6" x14ac:dyDescent="0.3">
      <c r="A29" s="16" t="s">
        <v>44</v>
      </c>
      <c r="B29" s="51" t="str">
        <f>IF(C13="Internal","Connect SS pin to VCC", "Connect cpacitor from SS pin to GND")</f>
        <v>Connect SS pin to VCC</v>
      </c>
      <c r="C29" s="51"/>
      <c r="D29" s="51"/>
      <c r="E29" s="9"/>
      <c r="F29" s="8"/>
    </row>
    <row r="30" spans="1:6" x14ac:dyDescent="0.3">
      <c r="A30" s="16" t="s">
        <v>45</v>
      </c>
      <c r="B30" s="9"/>
      <c r="C30" s="13">
        <f>C14/0.22</f>
        <v>45.454545454545453</v>
      </c>
      <c r="D30" s="9"/>
      <c r="E30" s="9" t="s">
        <v>46</v>
      </c>
      <c r="F30" s="8"/>
    </row>
    <row r="31" spans="1:6" x14ac:dyDescent="0.3">
      <c r="A31" s="16" t="s">
        <v>47</v>
      </c>
      <c r="B31" s="9"/>
      <c r="C31" s="4">
        <v>47</v>
      </c>
      <c r="D31" s="9"/>
      <c r="E31" s="9" t="s">
        <v>46</v>
      </c>
      <c r="F31" s="8" t="s">
        <v>81</v>
      </c>
    </row>
    <row r="32" spans="1:6" x14ac:dyDescent="0.3">
      <c r="A32" s="16" t="s">
        <v>48</v>
      </c>
      <c r="B32" s="9"/>
      <c r="C32" s="9">
        <f>IF(C13="Internal",0.7,0.22*C31)</f>
        <v>0.7</v>
      </c>
      <c r="D32" s="9"/>
      <c r="E32" s="9" t="s">
        <v>27</v>
      </c>
      <c r="F32" s="8"/>
    </row>
    <row r="33" spans="1:6" ht="18" x14ac:dyDescent="0.3">
      <c r="A33" s="40" t="s">
        <v>49</v>
      </c>
      <c r="B33" s="40"/>
      <c r="C33" s="40"/>
      <c r="D33" s="40"/>
      <c r="E33" s="40"/>
      <c r="F33" s="40"/>
    </row>
    <row r="34" spans="1:6" ht="25.2" customHeight="1" x14ac:dyDescent="0.3">
      <c r="A34" s="16" t="s">
        <v>50</v>
      </c>
      <c r="B34" s="29">
        <f>IF(((D6+(B43*(C15+Parameters!B4)))/(B5-(B43*(Parameters!B3-Parameters!B4))))&gt;0.99,"Increase Vin",((D6+(B43*(C15+Parameters!B4)))/(B5-(B43*(Parameters!B3-Parameters!B4)))))</f>
        <v>0.50674834779451683</v>
      </c>
      <c r="C34" s="29">
        <f>IF(((D6+(C43*(C15+Parameters!B4)))/(C5-(C43*(Parameters!B3-Parameters!B4))))&gt;0.99,"Increase Vin",((D6+(C43*(C15+Parameters!B4)))/(C5-(C43*(Parameters!B3-Parameters!B4)))))</f>
        <v>0.2532372401655949</v>
      </c>
      <c r="D34" s="29">
        <f>IF(((D6+(D43*(C15+Parameters!B4)))/(D5-(D43*(Parameters!B3-Parameters!B4))))&gt;0.99,"Increase Vin",((D6+(D43*(C15+Parameters!B4)))/(D5-(D43*(Parameters!B3-Parameters!B4)))))</f>
        <v>0.20955612071125071</v>
      </c>
      <c r="E34" s="9"/>
      <c r="F34" s="8" t="e" vm="1">
        <v>#VALUE!</v>
      </c>
    </row>
    <row r="35" spans="1:6" x14ac:dyDescent="0.3">
      <c r="A35" s="16" t="s">
        <v>75</v>
      </c>
      <c r="B35" s="10">
        <f>B5*(1-B34)*B34/(C25*0.000001)/(C23*1000)</f>
        <v>0.5936573018554242</v>
      </c>
      <c r="C35" s="10">
        <f>C5*(1-C34)*C34/(C25*0.000001)/(C23*1000)</f>
        <v>0.89828705959698851</v>
      </c>
      <c r="D35" s="10">
        <f>D5*(1-D34)*D34/(C25*0.000001)/(C23*1000)</f>
        <v>0.95074284740769321</v>
      </c>
      <c r="E35" s="9" t="s">
        <v>13</v>
      </c>
      <c r="F35" s="8"/>
    </row>
    <row r="36" spans="1:6" ht="18" x14ac:dyDescent="0.3">
      <c r="A36" s="40" t="s">
        <v>51</v>
      </c>
      <c r="B36" s="40"/>
      <c r="C36" s="40"/>
      <c r="D36" s="40"/>
      <c r="E36" s="40"/>
      <c r="F36" s="40"/>
    </row>
    <row r="37" spans="1:6" x14ac:dyDescent="0.3">
      <c r="A37" s="19" t="s">
        <v>52</v>
      </c>
      <c r="B37" s="9"/>
      <c r="C37" s="26">
        <f>IF(D34="Increase Vin",D34,(D34/C23*10^6))</f>
        <v>97.467963121511957</v>
      </c>
      <c r="D37" s="20"/>
      <c r="E37" s="9" t="s">
        <v>53</v>
      </c>
      <c r="F37" s="25" t="str">
        <f>IF(C37="Increase Vin",C37,(IF(C37&gt;35," ","ton is lower than specified minimum ton value of 35ns")))</f>
        <v xml:space="preserve"> </v>
      </c>
    </row>
    <row r="38" spans="1:6" x14ac:dyDescent="0.3">
      <c r="A38" s="19" t="s">
        <v>54</v>
      </c>
      <c r="B38" s="20"/>
      <c r="C38" s="26">
        <f>IF(B34="Increase Vin",B34,((1/C23*10^6)-(B34/C23*10^6)))</f>
        <v>229.41937311882941</v>
      </c>
      <c r="D38" s="9"/>
      <c r="E38" s="9" t="s">
        <v>53</v>
      </c>
      <c r="F38" s="25" t="str">
        <f>IF(C38="Increase Vin",C38,(IF(C38&gt;80,"","toff is lower than specified minimum ton value of 80ns")))</f>
        <v/>
      </c>
    </row>
    <row r="39" spans="1:6" ht="18" x14ac:dyDescent="0.3">
      <c r="A39" s="40" t="s">
        <v>55</v>
      </c>
      <c r="B39" s="40"/>
      <c r="C39" s="40"/>
      <c r="D39" s="40"/>
      <c r="E39" s="40"/>
      <c r="F39" s="40"/>
    </row>
    <row r="40" spans="1:6" x14ac:dyDescent="0.3">
      <c r="A40" s="21"/>
      <c r="B40" s="18" t="s">
        <v>56</v>
      </c>
      <c r="C40" s="18" t="s">
        <v>57</v>
      </c>
      <c r="D40" s="33" t="s">
        <v>58</v>
      </c>
      <c r="E40" s="16"/>
      <c r="F40" s="30"/>
    </row>
    <row r="41" spans="1:6" x14ac:dyDescent="0.3">
      <c r="A41" s="21" t="s">
        <v>99</v>
      </c>
      <c r="B41" s="38">
        <f>(Parameters!B6*Parameters!B5+0.0000000038)*C23*1000</f>
        <v>1.8542889999999996E-2</v>
      </c>
      <c r="C41" s="38">
        <f>(Parameters!B6*Parameters!B5+0.0000000038)*C23*1000</f>
        <v>1.8542889999999996E-2</v>
      </c>
      <c r="D41" s="39">
        <f>(Parameters!B6*Parameters!B5+0.0000000038)*C23*1000</f>
        <v>1.8542889999999996E-2</v>
      </c>
      <c r="E41" s="9" t="s">
        <v>13</v>
      </c>
      <c r="F41" s="30" t="e" vm="2">
        <v>#VALUE!</v>
      </c>
    </row>
    <row r="42" spans="1:6" x14ac:dyDescent="0.3">
      <c r="A42" s="21" t="s">
        <v>84</v>
      </c>
      <c r="B42" s="10">
        <f>B41*D6</f>
        <v>0.22251467999999996</v>
      </c>
      <c r="C42" s="10">
        <f>C41*D6</f>
        <v>0.22251467999999996</v>
      </c>
      <c r="D42" s="10">
        <f>D41*D6</f>
        <v>0.22251467999999996</v>
      </c>
      <c r="E42" s="9" t="s">
        <v>59</v>
      </c>
      <c r="F42" s="8" t="e" vm="3">
        <v>#VALUE!</v>
      </c>
    </row>
    <row r="43" spans="1:6" x14ac:dyDescent="0.3">
      <c r="A43" s="21" t="s">
        <v>100</v>
      </c>
      <c r="B43" s="10">
        <f>D7+B41</f>
        <v>0.51854288999999998</v>
      </c>
      <c r="C43" s="10">
        <f>D7+C41</f>
        <v>0.51854288999999998</v>
      </c>
      <c r="D43" s="10">
        <f>D7+D41</f>
        <v>0.51854288999999998</v>
      </c>
      <c r="E43" s="9"/>
      <c r="F43" s="8" t="e" vm="4">
        <v>#VALUE!</v>
      </c>
    </row>
    <row r="44" spans="1:6" ht="31.2" customHeight="1" x14ac:dyDescent="0.3">
      <c r="A44" s="21" t="s">
        <v>60</v>
      </c>
      <c r="B44" s="10">
        <f>(Parameters!B3)*B34*(1+((B35/2/B43)^2)/3)*B43^2</f>
        <v>2.8716721536800376E-2</v>
      </c>
      <c r="C44" s="10">
        <f>(Parameters!B3)*C34*(1+((C35/2/C43)^2)/3)*C43^2</f>
        <v>1.6172921922407844E-2</v>
      </c>
      <c r="D44" s="10">
        <f>(Parameters!B3)*D34*(1+((D35/2/D43)^2)/3)*D43^2</f>
        <v>1.3705057860247382E-2</v>
      </c>
      <c r="E44" s="9" t="s">
        <v>59</v>
      </c>
      <c r="F44" s="8" t="e" vm="5">
        <v>#VALUE!</v>
      </c>
    </row>
    <row r="45" spans="1:6" ht="31.2" customHeight="1" x14ac:dyDescent="0.3">
      <c r="A45" s="21" t="s">
        <v>61</v>
      </c>
      <c r="B45" s="10">
        <f>(Parameters!B4)*(1-B34)*(1+((B35/2/B43)^2)/3)*B43^2</f>
        <v>2.0596124048178489E-2</v>
      </c>
      <c r="C45" s="10">
        <f>(Parameters!B4)*(1-C34)*(1+((C35/2/C43)^2)/3)*C43^2</f>
        <v>3.5141314673633323E-2</v>
      </c>
      <c r="D45" s="10">
        <f>(Parameters!B4)*(1-D34)*(1+((D35/2/D43)^2)/3)*D43^2</f>
        <v>3.8091317896702913E-2</v>
      </c>
      <c r="E45" s="9" t="s">
        <v>59</v>
      </c>
      <c r="F45" s="8" t="e" vm="6">
        <v>#VALUE!</v>
      </c>
    </row>
    <row r="46" spans="1:6" ht="22.95" customHeight="1" x14ac:dyDescent="0.3">
      <c r="A46" s="21" t="s">
        <v>89</v>
      </c>
      <c r="B46" s="10">
        <f>IF(B43&gt;B35/2,B5*((B43-B35/2)*(B5/Parameters!B9/1000000000)+(B43+B35/2)*(B5/Parameters!B10/1000000000))*C23*1000/6,B5*(B43+B35/2)*(B5/Parameters!B10/1000000000)*C23*1000/6)</f>
        <v>9.0119554895425405E-2</v>
      </c>
      <c r="C46" s="10">
        <f>IF(C43&gt;C35/2,C5*((C43-C35/2)*(C5/Parameters!B9/1000000000)+(C43+C35/2)*(C5/Parameters!B10/1000000000))*C23*1000/6,C5*(C43+C35/2)*(C5/Parameters!B10/1000000000)*C23*1000/6)</f>
        <v>0.3685781335266754</v>
      </c>
      <c r="D46" s="10">
        <f>IF(D43&gt;D35/2,C5*((D43-D35/2)*(D5/Parameters!B9/1000000000)+(D43+D35/2)*(D5/Parameters!B10/1000000000))*C23*1000/6,D5*(D43+D35/2)*(D5/Parameters!B10/1000000000)*C23*1000/6)</f>
        <v>0.44705058747742082</v>
      </c>
      <c r="E46" s="9" t="s">
        <v>59</v>
      </c>
      <c r="F46" s="8" t="e" vm="7">
        <v>#VALUE!</v>
      </c>
    </row>
    <row r="47" spans="1:6" ht="25.2" customHeight="1" x14ac:dyDescent="0.3">
      <c r="A47" s="21" t="s">
        <v>90</v>
      </c>
      <c r="B47" s="10">
        <f>Parameters!B7*B5^2*C23*1000/2</f>
        <v>0.1696608</v>
      </c>
      <c r="C47" s="10">
        <f>Parameters!B7*C5^2*C23*1000/2</f>
        <v>0.6786432</v>
      </c>
      <c r="D47" s="10">
        <f>Parameters!B7*D5^2*C23*1000/2</f>
        <v>0.99086620000000003</v>
      </c>
      <c r="E47" s="9" t="s">
        <v>59</v>
      </c>
      <c r="F47" s="8" t="e" vm="8">
        <v>#VALUE!</v>
      </c>
    </row>
    <row r="48" spans="1:6" ht="16.95" customHeight="1" x14ac:dyDescent="0.3">
      <c r="A48" s="21" t="s">
        <v>91</v>
      </c>
      <c r="B48" s="10">
        <f>Parameters!B8*B5*C23*1000</f>
        <v>4.1279999999999997E-2</v>
      </c>
      <c r="C48" s="10">
        <f>Parameters!B8*C5*C23*1000</f>
        <v>8.2559999999999995E-2</v>
      </c>
      <c r="D48" s="10">
        <f>Parameters!B8*D5*C23*1000</f>
        <v>9.9759999999999988E-2</v>
      </c>
      <c r="E48" s="9" t="s">
        <v>59</v>
      </c>
      <c r="F48" s="8" t="e" vm="9">
        <v>#VALUE!</v>
      </c>
    </row>
    <row r="49" spans="1:6" ht="26.4" customHeight="1" x14ac:dyDescent="0.3">
      <c r="A49" s="21" t="s">
        <v>88</v>
      </c>
      <c r="B49" s="10">
        <f>B43^2*C15+C16*(B35/2)^2/3</f>
        <v>0.16434495047884204</v>
      </c>
      <c r="C49" s="10">
        <f>C43^2*C15+C16*(C35/2)^2/3</f>
        <v>0.32531038880557961</v>
      </c>
      <c r="D49" s="10">
        <f>D43^2*C15+C16*(D35/2)^2/3</f>
        <v>0.35966183563427212</v>
      </c>
      <c r="E49" s="9" t="s">
        <v>59</v>
      </c>
      <c r="F49" s="8" t="e" vm="10">
        <v>#VALUE!</v>
      </c>
    </row>
    <row r="50" spans="1:6" x14ac:dyDescent="0.3">
      <c r="A50" s="34" t="s">
        <v>76</v>
      </c>
      <c r="B50" s="35">
        <f>B42+B44+B45+B48+B46+B47</f>
        <v>0.57288788048040429</v>
      </c>
      <c r="C50" s="35">
        <f>C42+C44+C45+C48+C46+C47</f>
        <v>1.4036102501227166</v>
      </c>
      <c r="D50" s="35">
        <f>D42+D44+D45+D48+D46+D47</f>
        <v>1.811987843234371</v>
      </c>
      <c r="E50" s="24" t="s">
        <v>59</v>
      </c>
      <c r="F50" s="8"/>
    </row>
    <row r="51" spans="1:6" x14ac:dyDescent="0.3">
      <c r="A51" s="23" t="s">
        <v>62</v>
      </c>
      <c r="B51" s="35">
        <f>B49+B50</f>
        <v>0.7372328309592463</v>
      </c>
      <c r="C51" s="35">
        <f t="shared" ref="C51:D51" si="0">C49+C50</f>
        <v>1.7289206389282961</v>
      </c>
      <c r="D51" s="35">
        <f t="shared" si="0"/>
        <v>2.171649678868643</v>
      </c>
      <c r="E51" s="24" t="s">
        <v>59</v>
      </c>
      <c r="F51" s="8"/>
    </row>
    <row r="52" spans="1:6" x14ac:dyDescent="0.3">
      <c r="A52" s="23" t="s">
        <v>78</v>
      </c>
      <c r="B52" s="35">
        <f>D4+B50*Parameters!B11</f>
        <v>143.90530005585333</v>
      </c>
      <c r="C52" s="35">
        <f>D4+C50*Parameters!B11</f>
        <v>171.31913825404965</v>
      </c>
      <c r="D52" s="35">
        <f>D4+D50*Parameters!B11</f>
        <v>184.79559882673425</v>
      </c>
      <c r="E52" s="24" t="s">
        <v>80</v>
      </c>
      <c r="F52" s="8"/>
    </row>
  </sheetData>
  <mergeCells count="13">
    <mergeCell ref="B28:D28"/>
    <mergeCell ref="B29:D29"/>
    <mergeCell ref="A33:F33"/>
    <mergeCell ref="A36:F36"/>
    <mergeCell ref="A39:F39"/>
    <mergeCell ref="A18:F18"/>
    <mergeCell ref="B20:D20"/>
    <mergeCell ref="F24:F26"/>
    <mergeCell ref="A1:A2"/>
    <mergeCell ref="B1:F1"/>
    <mergeCell ref="B2:F2"/>
    <mergeCell ref="A17:F17"/>
    <mergeCell ref="B19:D19"/>
  </mergeCells>
  <conditionalFormatting sqref="A9:A10">
    <cfRule type="expression" dxfId="13" priority="23">
      <formula>$C$8="External"</formula>
    </cfRule>
  </conditionalFormatting>
  <conditionalFormatting sqref="A11:A14">
    <cfRule type="expression" dxfId="12" priority="14">
      <formula>AND($C$8="Internal", $C$10="Default")</formula>
    </cfRule>
  </conditionalFormatting>
  <conditionalFormatting sqref="A14 E14:F14">
    <cfRule type="expression" dxfId="11" priority="3">
      <formula>$C$13="Internal"</formula>
    </cfRule>
  </conditionalFormatting>
  <conditionalFormatting sqref="A21:A22 E21:F22">
    <cfRule type="expression" dxfId="10" priority="10">
      <formula>AND($C$8="Internal", $C$10="Default")</formula>
    </cfRule>
  </conditionalFormatting>
  <conditionalFormatting sqref="C9:C10">
    <cfRule type="expression" dxfId="9" priority="21">
      <formula>$C$8="External"</formula>
    </cfRule>
  </conditionalFormatting>
  <conditionalFormatting sqref="C11:C14">
    <cfRule type="expression" dxfId="8" priority="12">
      <formula>AND($C$8="Internal", $C$10="Default")</formula>
    </cfRule>
  </conditionalFormatting>
  <conditionalFormatting sqref="C14">
    <cfRule type="expression" dxfId="7" priority="2">
      <formula>$C$13="Internal"</formula>
    </cfRule>
  </conditionalFormatting>
  <conditionalFormatting sqref="C21">
    <cfRule type="expression" dxfId="6" priority="9">
      <formula>AND($C$8="Internal", $C$10="Default")</formula>
    </cfRule>
  </conditionalFormatting>
  <conditionalFormatting sqref="C22">
    <cfRule type="expression" dxfId="5" priority="8">
      <formula>AND($C$8="Internal", $C$10="Default")</formula>
    </cfRule>
  </conditionalFormatting>
  <conditionalFormatting sqref="C30 A30:A31 E30:F31">
    <cfRule type="expression" dxfId="4" priority="5">
      <formula>$C$13="Internal"</formula>
    </cfRule>
  </conditionalFormatting>
  <conditionalFormatting sqref="C31">
    <cfRule type="expression" dxfId="3" priority="4">
      <formula>$C$13="Internal"</formula>
    </cfRule>
  </conditionalFormatting>
  <conditionalFormatting sqref="E11:E14">
    <cfRule type="expression" dxfId="2" priority="13">
      <formula>AND($C$8="Internal", $C$10="Default")</formula>
    </cfRule>
  </conditionalFormatting>
  <conditionalFormatting sqref="F9:F10">
    <cfRule type="expression" dxfId="1" priority="20">
      <formula>$C$8="External"</formula>
    </cfRule>
  </conditionalFormatting>
  <conditionalFormatting sqref="F11">
    <cfRule type="expression" dxfId="0" priority="1">
      <formula>AND($C$8="Internal", $C$10="Default")</formula>
    </cfRule>
  </conditionalFormatting>
  <dataValidations count="4">
    <dataValidation type="list" allowBlank="1" showInputMessage="1" showErrorMessage="1" sqref="C10" xr:uid="{CB96766B-9CDE-4859-9AD9-5182045C8152}">
      <formula1>"Default, RFSET"</formula1>
    </dataValidation>
    <dataValidation type="list" allowBlank="1" showInputMessage="1" showErrorMessage="1" sqref="D6" xr:uid="{03C32B66-38B2-49CB-8094-02A3DD6E6A65}">
      <formula1>"3.3,5,5.35,12"</formula1>
    </dataValidation>
    <dataValidation type="list" allowBlank="1" showInputMessage="1" showErrorMessage="1" sqref="C8 C13" xr:uid="{CD68FE30-78ED-4594-B2AD-A4712A5F02CB}">
      <formula1>"Internal, External"</formula1>
    </dataValidation>
    <dataValidation type="list" allowBlank="1" showInputMessage="1" showErrorMessage="1" sqref="C9 C12" xr:uid="{46ECA01B-6A40-49CA-8E81-A15201A51423}">
      <formula1>"Yes, No"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3A2B-C441-4378-A9F9-99D89B0E3EB8}">
  <dimension ref="A3:D11"/>
  <sheetViews>
    <sheetView zoomScale="175" zoomScaleNormal="175" workbookViewId="0">
      <selection activeCell="D8" sqref="D8"/>
    </sheetView>
  </sheetViews>
  <sheetFormatPr defaultRowHeight="14.4" x14ac:dyDescent="0.3"/>
  <cols>
    <col min="1" max="1" width="33.88671875" customWidth="1"/>
    <col min="4" max="4" width="35.109375" customWidth="1"/>
  </cols>
  <sheetData>
    <row r="3" spans="1:4" x14ac:dyDescent="0.3">
      <c r="A3" s="2" t="s">
        <v>63</v>
      </c>
      <c r="B3" s="2">
        <v>0.19</v>
      </c>
      <c r="C3" s="2" t="s">
        <v>28</v>
      </c>
      <c r="D3" s="52" t="s">
        <v>83</v>
      </c>
    </row>
    <row r="4" spans="1:4" x14ac:dyDescent="0.3">
      <c r="A4" s="2" t="s">
        <v>64</v>
      </c>
      <c r="B4" s="2">
        <v>0.14000000000000001</v>
      </c>
      <c r="C4" s="2" t="s">
        <v>28</v>
      </c>
      <c r="D4" s="52"/>
    </row>
    <row r="5" spans="1:4" x14ac:dyDescent="0.3">
      <c r="A5" s="2" t="s">
        <v>95</v>
      </c>
      <c r="B5" s="2">
        <v>3.3</v>
      </c>
      <c r="C5" s="2" t="s">
        <v>9</v>
      </c>
      <c r="D5" s="36"/>
    </row>
    <row r="6" spans="1:4" x14ac:dyDescent="0.3">
      <c r="A6" s="2" t="s">
        <v>94</v>
      </c>
      <c r="B6" s="37">
        <v>1.4619999999999999E-9</v>
      </c>
      <c r="C6" s="2" t="s">
        <v>93</v>
      </c>
      <c r="D6" s="36"/>
    </row>
    <row r="7" spans="1:4" x14ac:dyDescent="0.3">
      <c r="A7" s="2" t="s">
        <v>92</v>
      </c>
      <c r="B7" s="37">
        <v>2.7399999999999998E-10</v>
      </c>
      <c r="C7" s="2" t="s">
        <v>93</v>
      </c>
      <c r="D7" s="36"/>
    </row>
    <row r="8" spans="1:4" x14ac:dyDescent="0.3">
      <c r="A8" s="2" t="s">
        <v>96</v>
      </c>
      <c r="B8" s="37">
        <v>8.0000000000000003E-10</v>
      </c>
      <c r="C8" s="2" t="s">
        <v>98</v>
      </c>
      <c r="D8" s="36"/>
    </row>
    <row r="9" spans="1:4" x14ac:dyDescent="0.3">
      <c r="A9" s="2" t="s">
        <v>69</v>
      </c>
      <c r="B9" s="31">
        <v>2.7</v>
      </c>
      <c r="C9" s="2" t="s">
        <v>97</v>
      </c>
    </row>
    <row r="10" spans="1:4" x14ac:dyDescent="0.3">
      <c r="A10" s="2" t="s">
        <v>70</v>
      </c>
      <c r="B10" s="31">
        <v>2.2999999999999998</v>
      </c>
      <c r="C10" s="2" t="s">
        <v>97</v>
      </c>
    </row>
    <row r="11" spans="1:4" x14ac:dyDescent="0.3">
      <c r="A11" s="2" t="s">
        <v>65</v>
      </c>
      <c r="B11" s="31">
        <v>33</v>
      </c>
      <c r="C11" s="14" t="s">
        <v>66</v>
      </c>
    </row>
  </sheetData>
  <mergeCells count="1">
    <mergeCell ref="D3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18DA7D6EE4EA498B26500519B57234" ma:contentTypeVersion="17" ma:contentTypeDescription="Creare un nuovo documento." ma:contentTypeScope="" ma:versionID="4016ae47e31313e1d890b48078ce0f1e">
  <xsd:schema xmlns:xsd="http://www.w3.org/2001/XMLSchema" xmlns:xs="http://www.w3.org/2001/XMLSchema" xmlns:p="http://schemas.microsoft.com/office/2006/metadata/properties" xmlns:ns2="e595823f-34ba-4026-9891-04654f989084" xmlns:ns3="58c999a7-e19f-4a00-b0b9-4dd207d1489a" targetNamespace="http://schemas.microsoft.com/office/2006/metadata/properties" ma:root="true" ma:fieldsID="ee88a60727f500d3142ebb13b72aabd7" ns2:_="" ns3:_="">
    <xsd:import namespace="e595823f-34ba-4026-9891-04654f989084"/>
    <xsd:import namespace="58c999a7-e19f-4a00-b0b9-4dd207d148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5823f-34ba-4026-9891-04654f98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aaa569b8-74cc-4d4e-a3e1-28a95f11a9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999a7-e19f-4a00-b0b9-4dd207d1489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f6c0ce9-f966-4e2e-a6fe-c73a96e48e3d}" ma:internalName="TaxCatchAll" ma:showField="CatchAllData" ma:web="58c999a7-e19f-4a00-b0b9-4dd207d148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5823f-34ba-4026-9891-04654f989084">
      <Terms xmlns="http://schemas.microsoft.com/office/infopath/2007/PartnerControls"/>
    </lcf76f155ced4ddcb4097134ff3c332f>
    <TaxCatchAll xmlns="58c999a7-e19f-4a00-b0b9-4dd207d1489a" xsi:nil="true"/>
    <_Flow_SignoffStatus xmlns="e595823f-34ba-4026-9891-04654f989084" xsi:nil="true"/>
  </documentManagement>
</p:properties>
</file>

<file path=customXml/itemProps1.xml><?xml version="1.0" encoding="utf-8"?>
<ds:datastoreItem xmlns:ds="http://schemas.openxmlformats.org/officeDocument/2006/customXml" ds:itemID="{A76EFE68-2C6B-4356-86C7-F2C1338583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225F26-5785-43AD-9B9A-07D5829F3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95823f-34ba-4026-9891-04654f989084"/>
    <ds:schemaRef ds:uri="58c999a7-e19f-4a00-b0b9-4dd207d148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481E75-60EF-4F82-BEFD-05F684539710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595823f-34ba-4026-9891-04654f989084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58c999a7-e19f-4a00-b0b9-4dd207d148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Parameters</vt:lpstr>
    </vt:vector>
  </TitlesOfParts>
  <Manager/>
  <Company>Allegro MicroSystems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Gadgil, Sarang</dc:creator>
  <cp:keywords/>
  <dc:description/>
  <cp:lastModifiedBy>Locke, Samuel (Sam)</cp:lastModifiedBy>
  <cp:revision/>
  <dcterms:created xsi:type="dcterms:W3CDTF">2024-01-08T09:24:09Z</dcterms:created>
  <dcterms:modified xsi:type="dcterms:W3CDTF">2025-01-13T14:23:04Z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0x010100BD18DA7D6EE4EA498B26500519B57234</vt:lpwstr>
  </property>
  <property fmtid="{D5CDD505-2E9C-101B-9397-08002B2CF9AE}" pid="3" name="MediaServiceImageTags">
    <vt:lpwstr/>
  </property>
</Properties>
</file>