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filterPrivacy="1" defaultThemeVersion="124226"/>
  <xr:revisionPtr revIDLastSave="0" documentId="13_ncr:1_{5DCDB8A3-9D1D-4BE9-AB24-48FF2B5F6B74}" xr6:coauthVersionLast="43" xr6:coauthVersionMax="43" xr10:uidLastSave="{00000000-0000-0000-0000-000000000000}"/>
  <bookViews>
    <workbookView xWindow="-28920" yWindow="-120" windowWidth="29040" windowHeight="17640" xr2:uid="{00000000-000D-0000-FFFF-FFFF00000000}"/>
  </bookViews>
  <sheets>
    <sheet name="Design" sheetId="1" r:id="rId1"/>
    <sheet name="Efficiency" sheetId="7" r:id="rId2"/>
    <sheet name="Dropout" sheetId="5" r:id="rId3"/>
    <sheet name="Snubber" sheetId="6" r:id="rId4"/>
    <sheet name="Constants" sheetId="2" r:id="rId5"/>
  </sheets>
  <definedNames>
    <definedName name="AVOL">Constants!$C$10</definedName>
    <definedName name="ChosenmaxDuty_max">Design!$C$31</definedName>
    <definedName name="ChosenmaxDuty_typ">Design!$B$31</definedName>
    <definedName name="ChosenminDuty_max">Design!$C$30</definedName>
    <definedName name="ChosenminDuty_typ">Design!$B$30</definedName>
    <definedName name="ChosenSE_max">Constants!$D$72</definedName>
    <definedName name="ChosenSE_min">Constants!$B$72</definedName>
    <definedName name="ChosenSE_typ">Constants!$C$72</definedName>
    <definedName name="Cin_Irms">Design!$B$54</definedName>
    <definedName name="Cin_min">Design!$B$53</definedName>
    <definedName name="Co_num_actual">Design!$B$47</definedName>
    <definedName name="Co_num_est">Design!$B$46</definedName>
    <definedName name="Co_tot">Design!$B$48</definedName>
    <definedName name="Coeff_0V">Constants!$C$68</definedName>
    <definedName name="Coeff_V">Constants!$C$67</definedName>
    <definedName name="Coeff_V1">Constants!$C$67</definedName>
    <definedName name="Coeff_V2">Constants!$C$66</definedName>
    <definedName name="Coeff_V3">Constants!$C$65</definedName>
    <definedName name="Cp_sel">Design!$B$69</definedName>
    <definedName name="Csnub">Snubber!$B$15</definedName>
    <definedName name="CSnub_Cal">Snubber!$B$14</definedName>
    <definedName name="CSS_min">Design!$B$56</definedName>
    <definedName name="CSS_sel">Design!$B$57</definedName>
    <definedName name="Cz_max">Design!$C$68</definedName>
    <definedName name="Cz_min">Design!$B$68</definedName>
    <definedName name="D1_CAP">Snubber!$C$5</definedName>
    <definedName name="DCR_Lo">Constants!$C$6</definedName>
    <definedName name="DCRLo_Sel">Design!$B$38</definedName>
    <definedName name="f_p1">Design!$B$64</definedName>
    <definedName name="f_z1">Design!$B$65</definedName>
    <definedName name="fc_max">Design!$B$61</definedName>
    <definedName name="fc_sel">Design!$B$62</definedName>
    <definedName name="Fsw_max">Constants!$D$22</definedName>
    <definedName name="Fsw_min">Constants!$B$22</definedName>
    <definedName name="Fsw_Recom">Design!$B$27</definedName>
    <definedName name="Fsw_Sel">Design!$B$28</definedName>
    <definedName name="Fswtol_max">Constants!$D$23</definedName>
    <definedName name="Fswtol_min">Constants!$B$23</definedName>
    <definedName name="gmEA_max">Constants!$D$11</definedName>
    <definedName name="gmEA_min">Constants!$B$11</definedName>
    <definedName name="gmEA_typ">Constants!$C$11</definedName>
    <definedName name="gmPower">Constants!$C$13</definedName>
    <definedName name="IC">Design!$B$3</definedName>
    <definedName name="ILIM5_max">Constants!$D$39</definedName>
    <definedName name="ILIM5_min">Constants!$B$39</definedName>
    <definedName name="ILIM5_typ">Constants!$C$39</definedName>
    <definedName name="ILIM90_max">Constants!$D$40</definedName>
    <definedName name="ILIM90_min">Constants!$B$40</definedName>
    <definedName name="ILIM90_typ">Constants!$C$40</definedName>
    <definedName name="ILIMcurve_offset">Constants!$C$46</definedName>
    <definedName name="ILIMcurve_slope">Constants!$C$45</definedName>
    <definedName name="ILIMmargin_Vinmin">Design!$B$43</definedName>
    <definedName name="ILIMmargin_Vintyp">Design!$B$42</definedName>
    <definedName name="ILpp_max">Design!$B$40</definedName>
    <definedName name="ILpp_typ">Design!$B$39</definedName>
    <definedName name="Iout">Design!$D$8</definedName>
    <definedName name="IQ">Constants!$C$27</definedName>
    <definedName name="Isat_req">Design!$B$41</definedName>
    <definedName name="Lo_max">Design!$C$35</definedName>
    <definedName name="Lo_min">Design!$B$35</definedName>
    <definedName name="Lo_sel">Design!$B$37</definedName>
    <definedName name="Lotol_max">Design!$D$12</definedName>
    <definedName name="Lotol_min">Design!$B$12</definedName>
    <definedName name="LX_CAP">Snubber!$C$6</definedName>
    <definedName name="LX_Equ_Ind">Snubber!$B$11</definedName>
    <definedName name="LX_Res_Freq">Snubber!$C$3</definedName>
    <definedName name="LX_Res_Period">Snubber!$C$4</definedName>
    <definedName name="ManualCout">Design!$L$47</definedName>
    <definedName name="ManualCout_ESL">Design!$L$49</definedName>
    <definedName name="ManualCout_ESR">Design!$L$48</definedName>
    <definedName name="ManualCout_numb">Design!$L$50</definedName>
    <definedName name="MaxDuty_Extend">Design!$C$32</definedName>
    <definedName name="maxSYNC_Fsw">Design!$B$33</definedName>
    <definedName name="Perc_StepCurrent">Constants!$B$53</definedName>
    <definedName name="QgHS">Constants!$D$32</definedName>
    <definedName name="QgLS">Constants!$D$33</definedName>
    <definedName name="RdsHS_max">Constants!$D$28</definedName>
    <definedName name="RdsHS_typ">Constants!$C$28</definedName>
    <definedName name="RdsLS_max">Constants!$D$29</definedName>
    <definedName name="RdsLS_typ">Constants!$C$29</definedName>
    <definedName name="RdsON_HS_start">Constants!$I$28</definedName>
    <definedName name="RdsON_LS_Start">Constants!$I$29</definedName>
    <definedName name="Reset">Design!$D$4</definedName>
    <definedName name="RFB_combo">Constants!$C$5</definedName>
    <definedName name="RFB1_calc">Design!$B$19</definedName>
    <definedName name="RFB1_Sel">Design!$B$20</definedName>
    <definedName name="RFB1tol_max">Design!$D$10</definedName>
    <definedName name="RFB2_calc">Design!$B$21</definedName>
    <definedName name="RFB2_Sel">Design!$B$22</definedName>
    <definedName name="RFB2tol_max">Design!$D$11</definedName>
    <definedName name="RippleIout_percent">Design!$C$9</definedName>
    <definedName name="RLoad_typ">Design!$B$63</definedName>
    <definedName name="RSnub">Snubber!$B$13</definedName>
    <definedName name="RSnub_Power">Snubber!$B$16</definedName>
    <definedName name="Rth_typ">Design!$C$14</definedName>
    <definedName name="Rz">Design!$B$66</definedName>
    <definedName name="Rz_sel">Design!$B$67</definedName>
    <definedName name="SE1_max">Constants!$D$16</definedName>
    <definedName name="SE1_min">Constants!$B$16</definedName>
    <definedName name="SE1_typ">Constants!$C$16</definedName>
    <definedName name="SE2_max">Constants!$D$17</definedName>
    <definedName name="SE2_min">Constants!$B$17</definedName>
    <definedName name="SE2_typ">Constants!$C$17</definedName>
    <definedName name="Snub_Damp_Freq">Snubber!$C$7</definedName>
    <definedName name="Snub_Res">Snubber!$B$12</definedName>
    <definedName name="SR_fall">Constants!$C$36</definedName>
    <definedName name="SR_rise">Constants!$C$35</definedName>
    <definedName name="SS_delay">Design!$B$59</definedName>
    <definedName name="SS_source">Constants!$C$37</definedName>
    <definedName name="SS_target">Design!$C$13</definedName>
    <definedName name="Sync?">Constants!$C$38</definedName>
    <definedName name="SysDuty_max">Design!$D$25</definedName>
    <definedName name="SysDuty_min">Design!$B$25</definedName>
    <definedName name="SysDuty_typ">Design!$C$25</definedName>
    <definedName name="t_SS_typ">Design!$B$58</definedName>
    <definedName name="Tamb_max">Design!$D$15</definedName>
    <definedName name="TCR_DCRLo">Constants!$C$47</definedName>
    <definedName name="TCR_Rds">Constants!$C$30</definedName>
    <definedName name="tnonOverlap">Constants!$C$26</definedName>
    <definedName name="toffmin_max">Constants!$D$25</definedName>
    <definedName name="toffmin_typ">Constants!$C$25</definedName>
    <definedName name="tonmin_max">Constants!$D$24</definedName>
    <definedName name="tonmin_typ">Constants!$C$24</definedName>
    <definedName name="Trans_Co_ESL">Constants!$B$59</definedName>
    <definedName name="Trans_Co_ESR">Constants!$B$58</definedName>
    <definedName name="Trans_Co_tol">Constants!$B$57</definedName>
    <definedName name="Trans_Fsw">Constants!$B$55</definedName>
    <definedName name="Trans_maxCurrent">Constants!$B$51</definedName>
    <definedName name="Trans_perc">Design!$B$45</definedName>
    <definedName name="Trans_stepCurrent">Constants!$B$52</definedName>
    <definedName name="Trans_Vo">Constants!$B$50</definedName>
    <definedName name="Trans_Vopp">Constants!$B$56</definedName>
    <definedName name="Transnumb_Cap">Constants!$B$54</definedName>
    <definedName name="UVLO_hys">Constants!$C$8</definedName>
    <definedName name="UVLO_max">Constants!$D$7</definedName>
    <definedName name="UVLO_mult">Constants!$C$9</definedName>
    <definedName name="UVLO_typ">Constants!$C$7</definedName>
    <definedName name="UVLOhys_min">Constants!$B$8</definedName>
    <definedName name="VFB_max">Constants!$D$3</definedName>
    <definedName name="VFB_min">Constants!$B$3</definedName>
    <definedName name="VFB_typ">Constants!$C$3</definedName>
    <definedName name="VFBtol_max">Constants!$D$4</definedName>
    <definedName name="VFBtol_min">Constants!$B$4</definedName>
    <definedName name="Vin_max">Design!$D$6</definedName>
    <definedName name="Vin_typ">Design!$C$6</definedName>
    <definedName name="Vout">Design!$C$7</definedName>
    <definedName name="Vout_rpp">Design!$B$49</definedName>
    <definedName name="Vout_typ">Design!$C$24</definedName>
    <definedName name="VSD_LS">Constants!$C$31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0" i="2" l="1"/>
  <c r="C40" i="2"/>
  <c r="D40" i="2"/>
  <c r="C39" i="2"/>
  <c r="D39" i="2"/>
  <c r="B39" i="2"/>
  <c r="B17" i="2"/>
  <c r="C17" i="2"/>
  <c r="D17" i="2"/>
  <c r="C16" i="2"/>
  <c r="D16" i="2"/>
  <c r="B16" i="2"/>
  <c r="C31" i="1"/>
  <c r="C45" i="2" l="1"/>
  <c r="C46" i="2" s="1"/>
  <c r="C32" i="1"/>
  <c r="B32" i="1"/>
  <c r="P4" i="7" l="1"/>
  <c r="B19" i="1" l="1"/>
  <c r="B21" i="1" s="1"/>
  <c r="B48" i="1" l="1"/>
  <c r="B50" i="1" l="1"/>
  <c r="AN16" i="7"/>
  <c r="AN17" i="7"/>
  <c r="AN18" i="7"/>
  <c r="AN19" i="7"/>
  <c r="AN20" i="7"/>
  <c r="AN21" i="7"/>
  <c r="AL16" i="7"/>
  <c r="AL17" i="7"/>
  <c r="AL18" i="7"/>
  <c r="AL19" i="7"/>
  <c r="AL20" i="7"/>
  <c r="AL21" i="7"/>
  <c r="BJ16" i="7"/>
  <c r="BJ17" i="7"/>
  <c r="BJ18" i="7"/>
  <c r="BJ19" i="7"/>
  <c r="BJ20" i="7"/>
  <c r="BJ21" i="7"/>
  <c r="BH16" i="7"/>
  <c r="BH17" i="7"/>
  <c r="BH18" i="7"/>
  <c r="BH19" i="7"/>
  <c r="BH20" i="7"/>
  <c r="BH21" i="7"/>
  <c r="BJ6" i="7"/>
  <c r="BJ7" i="7"/>
  <c r="BJ8" i="7"/>
  <c r="BJ9" i="7"/>
  <c r="BJ10" i="7"/>
  <c r="BJ11" i="7"/>
  <c r="BH6" i="7"/>
  <c r="BH7" i="7"/>
  <c r="BH8" i="7"/>
  <c r="BH9" i="7"/>
  <c r="BH10" i="7"/>
  <c r="BH11" i="7"/>
  <c r="AN6" i="7"/>
  <c r="AN7" i="7"/>
  <c r="AN8" i="7"/>
  <c r="AN9" i="7"/>
  <c r="AN10" i="7"/>
  <c r="AN11" i="7"/>
  <c r="AL6" i="7"/>
  <c r="AL7" i="7"/>
  <c r="AL8" i="7"/>
  <c r="AL9" i="7"/>
  <c r="AL10" i="7"/>
  <c r="AL11" i="7"/>
  <c r="R16" i="7"/>
  <c r="R17" i="7"/>
  <c r="R18" i="7"/>
  <c r="R19" i="7"/>
  <c r="R20" i="7"/>
  <c r="R21" i="7"/>
  <c r="P16" i="7"/>
  <c r="P17" i="7"/>
  <c r="P18" i="7"/>
  <c r="P19" i="7"/>
  <c r="P20" i="7"/>
  <c r="P21" i="7"/>
  <c r="R6" i="7"/>
  <c r="R7" i="7"/>
  <c r="R8" i="7"/>
  <c r="R9" i="7"/>
  <c r="R10" i="7"/>
  <c r="R11" i="7"/>
  <c r="P6" i="7"/>
  <c r="P7" i="7"/>
  <c r="P8" i="7"/>
  <c r="P9" i="7"/>
  <c r="P10" i="7"/>
  <c r="P11" i="7"/>
  <c r="AX90" i="5"/>
  <c r="BJ15" i="7"/>
  <c r="BJ14" i="7"/>
  <c r="BJ5" i="7"/>
  <c r="BJ4" i="7"/>
  <c r="BH15" i="7"/>
  <c r="BH14" i="7"/>
  <c r="BH5" i="7"/>
  <c r="BH4" i="7"/>
  <c r="AN15" i="7"/>
  <c r="AN14" i="7"/>
  <c r="AN5" i="7"/>
  <c r="AN4" i="7"/>
  <c r="AL15" i="7"/>
  <c r="AL5" i="7"/>
  <c r="AL14" i="7"/>
  <c r="AL4" i="7"/>
  <c r="R15" i="7"/>
  <c r="R14" i="7"/>
  <c r="P15" i="7"/>
  <c r="P14" i="7"/>
  <c r="R5" i="7"/>
  <c r="R4" i="7"/>
  <c r="P5" i="7"/>
  <c r="C12" i="2" l="1"/>
  <c r="B29" i="1" l="1"/>
  <c r="C72" i="2" l="1"/>
  <c r="H93" i="5" l="1"/>
  <c r="H92" i="5"/>
  <c r="B89" i="5"/>
  <c r="B45" i="5"/>
  <c r="F6" i="1" l="1"/>
  <c r="A14" i="7" l="1"/>
  <c r="A15" i="7" l="1"/>
  <c r="A16" i="7"/>
  <c r="A17" i="7"/>
  <c r="A18" i="7"/>
  <c r="A19" i="7"/>
  <c r="A20" i="7"/>
  <c r="A21" i="7"/>
  <c r="B59" i="1"/>
  <c r="B58" i="1"/>
  <c r="AU2" i="7" l="1"/>
  <c r="Y2" i="7"/>
  <c r="C2" i="7"/>
  <c r="AT21" i="7"/>
  <c r="X21" i="7"/>
  <c r="B21" i="7"/>
  <c r="AT11" i="7"/>
  <c r="X11" i="7"/>
  <c r="B11" i="7"/>
  <c r="X15" i="7" l="1"/>
  <c r="X16" i="7" s="1"/>
  <c r="X5" i="7"/>
  <c r="AT15" i="7"/>
  <c r="B15" i="7"/>
  <c r="B16" i="7" s="1"/>
  <c r="B5" i="7"/>
  <c r="AT5" i="7"/>
  <c r="X17" i="7" l="1"/>
  <c r="X6" i="7"/>
  <c r="X7" i="7" s="1"/>
  <c r="AT16" i="7"/>
  <c r="AT17" i="7" s="1"/>
  <c r="B17" i="7"/>
  <c r="AT6" i="7"/>
  <c r="B6" i="7"/>
  <c r="X18" i="7" l="1"/>
  <c r="X19" i="7" s="1"/>
  <c r="AT7" i="7"/>
  <c r="AT8" i="7" s="1"/>
  <c r="B7" i="7"/>
  <c r="B18" i="7"/>
  <c r="X8" i="7"/>
  <c r="AT18" i="7"/>
  <c r="B19" i="7" l="1"/>
  <c r="B20" i="7" s="1"/>
  <c r="B8" i="7"/>
  <c r="X9" i="7"/>
  <c r="AT9" i="7"/>
  <c r="AT19" i="7"/>
  <c r="X20" i="7"/>
  <c r="B9" i="7" l="1"/>
  <c r="X10" i="7"/>
  <c r="AT20" i="7"/>
  <c r="AT10" i="7"/>
  <c r="B10" i="7" l="1"/>
  <c r="C4" i="6" l="1"/>
  <c r="B11" i="6" s="1"/>
  <c r="B12" i="6" s="1"/>
  <c r="AI89" i="5"/>
  <c r="S89" i="5"/>
  <c r="C89" i="5"/>
  <c r="A89" i="5"/>
  <c r="AI88" i="5"/>
  <c r="S88" i="5"/>
  <c r="C88" i="5"/>
  <c r="A88" i="5"/>
  <c r="AI87" i="5"/>
  <c r="S87" i="5"/>
  <c r="C87" i="5"/>
  <c r="A87" i="5"/>
  <c r="AI86" i="5"/>
  <c r="S86" i="5"/>
  <c r="C86" i="5"/>
  <c r="A86" i="5"/>
  <c r="AI85" i="5"/>
  <c r="S85" i="5"/>
  <c r="C85" i="5"/>
  <c r="A85" i="5"/>
  <c r="AI84" i="5"/>
  <c r="S84" i="5"/>
  <c r="C84" i="5"/>
  <c r="A84" i="5"/>
  <c r="AI83" i="5"/>
  <c r="S83" i="5"/>
  <c r="C83" i="5"/>
  <c r="A83" i="5"/>
  <c r="AI82" i="5"/>
  <c r="S82" i="5"/>
  <c r="C82" i="5"/>
  <c r="A82" i="5"/>
  <c r="AI81" i="5"/>
  <c r="S81" i="5"/>
  <c r="C81" i="5"/>
  <c r="A81" i="5"/>
  <c r="AI80" i="5"/>
  <c r="S80" i="5"/>
  <c r="C80" i="5"/>
  <c r="A80" i="5"/>
  <c r="AI79" i="5"/>
  <c r="S79" i="5"/>
  <c r="C79" i="5"/>
  <c r="A79" i="5"/>
  <c r="AI78" i="5"/>
  <c r="S78" i="5"/>
  <c r="C78" i="5"/>
  <c r="A78" i="5"/>
  <c r="AI77" i="5"/>
  <c r="S77" i="5"/>
  <c r="C77" i="5"/>
  <c r="A77" i="5"/>
  <c r="AI76" i="5"/>
  <c r="S76" i="5"/>
  <c r="C76" i="5"/>
  <c r="A76" i="5"/>
  <c r="AI75" i="5"/>
  <c r="S75" i="5"/>
  <c r="C75" i="5"/>
  <c r="A75" i="5"/>
  <c r="AI74" i="5"/>
  <c r="S74" i="5"/>
  <c r="C74" i="5"/>
  <c r="A74" i="5"/>
  <c r="AI73" i="5"/>
  <c r="S73" i="5"/>
  <c r="C73" i="5"/>
  <c r="A73" i="5"/>
  <c r="AI72" i="5"/>
  <c r="S72" i="5"/>
  <c r="C72" i="5"/>
  <c r="A72" i="5"/>
  <c r="AI71" i="5"/>
  <c r="S71" i="5"/>
  <c r="C71" i="5"/>
  <c r="A71" i="5"/>
  <c r="AI70" i="5"/>
  <c r="S70" i="5"/>
  <c r="C70" i="5"/>
  <c r="A70" i="5"/>
  <c r="AI69" i="5"/>
  <c r="S69" i="5"/>
  <c r="C69" i="5"/>
  <c r="A69" i="5"/>
  <c r="AI68" i="5"/>
  <c r="S68" i="5"/>
  <c r="C68" i="5"/>
  <c r="A68" i="5"/>
  <c r="AI67" i="5"/>
  <c r="S67" i="5"/>
  <c r="C67" i="5"/>
  <c r="A67" i="5"/>
  <c r="AI66" i="5"/>
  <c r="S66" i="5"/>
  <c r="C66" i="5"/>
  <c r="A66" i="5"/>
  <c r="AI65" i="5"/>
  <c r="S65" i="5"/>
  <c r="C65" i="5"/>
  <c r="A65" i="5"/>
  <c r="AI64" i="5"/>
  <c r="S64" i="5"/>
  <c r="C64" i="5"/>
  <c r="A64" i="5"/>
  <c r="AI63" i="5"/>
  <c r="S63" i="5"/>
  <c r="C63" i="5"/>
  <c r="A63" i="5"/>
  <c r="AI62" i="5"/>
  <c r="S62" i="5"/>
  <c r="C62" i="5"/>
  <c r="A62" i="5"/>
  <c r="AI61" i="5"/>
  <c r="S61" i="5"/>
  <c r="C61" i="5"/>
  <c r="A61" i="5"/>
  <c r="AI60" i="5"/>
  <c r="S60" i="5"/>
  <c r="C60" i="5"/>
  <c r="A60" i="5"/>
  <c r="AI59" i="5"/>
  <c r="S59" i="5"/>
  <c r="C59" i="5"/>
  <c r="A59" i="5"/>
  <c r="AI58" i="5"/>
  <c r="S58" i="5"/>
  <c r="C58" i="5"/>
  <c r="A58" i="5"/>
  <c r="AI57" i="5"/>
  <c r="S57" i="5"/>
  <c r="C57" i="5"/>
  <c r="A57" i="5"/>
  <c r="AI56" i="5"/>
  <c r="S56" i="5"/>
  <c r="C56" i="5"/>
  <c r="A56" i="5"/>
  <c r="AI55" i="5"/>
  <c r="S55" i="5"/>
  <c r="C55" i="5"/>
  <c r="A55" i="5"/>
  <c r="AI54" i="5"/>
  <c r="S54" i="5"/>
  <c r="C54" i="5"/>
  <c r="A54" i="5"/>
  <c r="AI53" i="5"/>
  <c r="S53" i="5"/>
  <c r="C53" i="5"/>
  <c r="A53" i="5"/>
  <c r="AI52" i="5"/>
  <c r="S52" i="5"/>
  <c r="C52" i="5"/>
  <c r="A52" i="5"/>
  <c r="AI51" i="5"/>
  <c r="S51" i="5"/>
  <c r="C51" i="5"/>
  <c r="A51" i="5"/>
  <c r="AI50" i="5"/>
  <c r="S50" i="5"/>
  <c r="C50" i="5"/>
  <c r="A50" i="5"/>
  <c r="AI49" i="5"/>
  <c r="S49" i="5"/>
  <c r="C49" i="5"/>
  <c r="A49" i="5"/>
  <c r="AI45" i="5"/>
  <c r="S45" i="5"/>
  <c r="C45" i="5"/>
  <c r="AI44" i="5"/>
  <c r="S44" i="5"/>
  <c r="C44" i="5"/>
  <c r="AI43" i="5"/>
  <c r="S43" i="5"/>
  <c r="C43" i="5"/>
  <c r="AI42" i="5"/>
  <c r="S42" i="5"/>
  <c r="C42" i="5"/>
  <c r="AI41" i="5"/>
  <c r="S41" i="5"/>
  <c r="C41" i="5"/>
  <c r="AI40" i="5"/>
  <c r="S40" i="5"/>
  <c r="C40" i="5"/>
  <c r="AI39" i="5"/>
  <c r="S39" i="5"/>
  <c r="C39" i="5"/>
  <c r="AI38" i="5"/>
  <c r="S38" i="5"/>
  <c r="C38" i="5"/>
  <c r="AI37" i="5"/>
  <c r="S37" i="5"/>
  <c r="C37" i="5"/>
  <c r="AI36" i="5"/>
  <c r="S36" i="5"/>
  <c r="C36" i="5"/>
  <c r="AI35" i="5"/>
  <c r="S35" i="5"/>
  <c r="C35" i="5"/>
  <c r="AI34" i="5"/>
  <c r="S34" i="5"/>
  <c r="C34" i="5"/>
  <c r="AI33" i="5"/>
  <c r="S33" i="5"/>
  <c r="C33" i="5"/>
  <c r="AI32" i="5"/>
  <c r="S32" i="5"/>
  <c r="C32" i="5"/>
  <c r="AI31" i="5"/>
  <c r="S31" i="5"/>
  <c r="C31" i="5"/>
  <c r="AI30" i="5"/>
  <c r="S30" i="5"/>
  <c r="C30" i="5"/>
  <c r="AI29" i="5"/>
  <c r="S29" i="5"/>
  <c r="C29" i="5"/>
  <c r="AI28" i="5"/>
  <c r="S28" i="5"/>
  <c r="C28" i="5"/>
  <c r="AI27" i="5"/>
  <c r="S27" i="5"/>
  <c r="C27" i="5"/>
  <c r="AI26" i="5"/>
  <c r="S26" i="5"/>
  <c r="C26" i="5"/>
  <c r="AI25" i="5"/>
  <c r="S25" i="5"/>
  <c r="C25" i="5"/>
  <c r="AI24" i="5"/>
  <c r="S24" i="5"/>
  <c r="C24" i="5"/>
  <c r="AI23" i="5"/>
  <c r="S23" i="5"/>
  <c r="C23" i="5"/>
  <c r="AI22" i="5"/>
  <c r="S22" i="5"/>
  <c r="C22" i="5"/>
  <c r="AI21" i="5"/>
  <c r="S21" i="5"/>
  <c r="C21" i="5"/>
  <c r="AI20" i="5"/>
  <c r="S20" i="5"/>
  <c r="C20" i="5"/>
  <c r="AI19" i="5"/>
  <c r="S19" i="5"/>
  <c r="C19" i="5"/>
  <c r="AI18" i="5"/>
  <c r="S18" i="5"/>
  <c r="C18" i="5"/>
  <c r="AI17" i="5"/>
  <c r="S17" i="5"/>
  <c r="C17" i="5"/>
  <c r="AI16" i="5"/>
  <c r="S16" i="5"/>
  <c r="C16" i="5"/>
  <c r="AI15" i="5"/>
  <c r="S15" i="5"/>
  <c r="C15" i="5"/>
  <c r="AI14" i="5"/>
  <c r="S14" i="5"/>
  <c r="C14" i="5"/>
  <c r="AI13" i="5"/>
  <c r="S13" i="5"/>
  <c r="C13" i="5"/>
  <c r="AI12" i="5"/>
  <c r="S12" i="5"/>
  <c r="C12" i="5"/>
  <c r="AI11" i="5"/>
  <c r="S11" i="5"/>
  <c r="C11" i="5"/>
  <c r="AI10" i="5"/>
  <c r="S10" i="5"/>
  <c r="C10" i="5"/>
  <c r="AI9" i="5"/>
  <c r="S9" i="5"/>
  <c r="C9" i="5"/>
  <c r="AI8" i="5"/>
  <c r="S8" i="5"/>
  <c r="C8" i="5"/>
  <c r="AI7" i="5"/>
  <c r="S7" i="5"/>
  <c r="C7" i="5"/>
  <c r="AI6" i="5"/>
  <c r="S6" i="5"/>
  <c r="C6" i="5"/>
  <c r="AI5" i="5"/>
  <c r="S5" i="5"/>
  <c r="C5" i="5"/>
  <c r="B53" i="2"/>
  <c r="D33" i="2"/>
  <c r="D32" i="2"/>
  <c r="D72" i="2"/>
  <c r="B35" i="1" s="1"/>
  <c r="B72" i="2"/>
  <c r="C35" i="1" s="1"/>
  <c r="D12" i="2"/>
  <c r="B12" i="2"/>
  <c r="D4" i="2"/>
  <c r="B4" i="2"/>
  <c r="B68" i="1"/>
  <c r="B56" i="1"/>
  <c r="D24" i="1"/>
  <c r="C24" i="1"/>
  <c r="B46" i="1" s="1"/>
  <c r="B24" i="1"/>
  <c r="B51" i="1" l="1"/>
  <c r="B14" i="6"/>
  <c r="B65" i="1"/>
  <c r="B69" i="1" s="1"/>
  <c r="B66" i="1"/>
  <c r="B88" i="5"/>
  <c r="B44" i="5"/>
  <c r="B87" i="5" l="1"/>
  <c r="B43" i="5"/>
  <c r="B86" i="5" l="1"/>
  <c r="B42" i="5"/>
  <c r="B85" i="5" l="1"/>
  <c r="B41" i="5"/>
  <c r="B84" i="5" l="1"/>
  <c r="B40" i="5"/>
  <c r="B83" i="5" l="1"/>
  <c r="B39" i="5"/>
  <c r="B82" i="5" l="1"/>
  <c r="B38" i="5"/>
  <c r="B81" i="5" l="1"/>
  <c r="B80" i="5" s="1"/>
  <c r="B37" i="5"/>
  <c r="B36" i="5" l="1"/>
  <c r="B79" i="5"/>
  <c r="B78" i="5" l="1"/>
  <c r="B35" i="5"/>
  <c r="B34" i="5" l="1"/>
  <c r="B77" i="5"/>
  <c r="B33" i="5" l="1"/>
  <c r="B76" i="5"/>
  <c r="B32" i="5" l="1"/>
  <c r="B75" i="5"/>
  <c r="B31" i="5" l="1"/>
  <c r="B74" i="5"/>
  <c r="B73" i="5" l="1"/>
  <c r="B30" i="5"/>
  <c r="B29" i="5" l="1"/>
  <c r="B72" i="5"/>
  <c r="B71" i="5" l="1"/>
  <c r="B28" i="5"/>
  <c r="B27" i="5" l="1"/>
  <c r="B70" i="5"/>
  <c r="B69" i="5" l="1"/>
  <c r="B26" i="5"/>
  <c r="B25" i="5" l="1"/>
  <c r="B68" i="5"/>
  <c r="B67" i="5" l="1"/>
  <c r="B24" i="5"/>
  <c r="B23" i="5" l="1"/>
  <c r="B66" i="5"/>
  <c r="B65" i="5" l="1"/>
  <c r="B22" i="5"/>
  <c r="B64" i="5" l="1"/>
  <c r="B21" i="5"/>
  <c r="B63" i="5" l="1"/>
  <c r="B20" i="5"/>
  <c r="B62" i="5" l="1"/>
  <c r="B19" i="5"/>
  <c r="B18" i="5" l="1"/>
  <c r="B61" i="5"/>
  <c r="B60" i="5" l="1"/>
  <c r="B17" i="5"/>
  <c r="B16" i="5" l="1"/>
  <c r="B59" i="5"/>
  <c r="B58" i="5" l="1"/>
  <c r="B15" i="5"/>
  <c r="B57" i="5" l="1"/>
  <c r="B14" i="5"/>
  <c r="B13" i="5" l="1"/>
  <c r="B56" i="5"/>
  <c r="B55" i="5" l="1"/>
  <c r="B12" i="5"/>
  <c r="B11" i="5" l="1"/>
  <c r="B54" i="5"/>
  <c r="B53" i="5" l="1"/>
  <c r="B10" i="5"/>
  <c r="B9" i="5" l="1"/>
  <c r="B52" i="5"/>
  <c r="B51" i="5" l="1"/>
  <c r="B8" i="5"/>
  <c r="B7" i="5" l="1"/>
  <c r="B50" i="5"/>
  <c r="B6" i="5" l="1"/>
  <c r="B49" i="5"/>
  <c r="B5" i="5" l="1"/>
  <c r="L4" i="7"/>
  <c r="AH4" i="7"/>
  <c r="BD4" i="7"/>
  <c r="L5" i="7"/>
  <c r="AH5" i="7"/>
  <c r="BD5" i="7"/>
  <c r="L6" i="7"/>
  <c r="AH6" i="7"/>
  <c r="BD6" i="7"/>
  <c r="L7" i="7"/>
  <c r="AH7" i="7"/>
  <c r="BD7" i="7"/>
  <c r="L8" i="7"/>
  <c r="AH8" i="7"/>
  <c r="BD8" i="7"/>
  <c r="L9" i="7"/>
  <c r="AH9" i="7"/>
  <c r="BD9" i="7"/>
  <c r="L10" i="7"/>
  <c r="AH10" i="7"/>
  <c r="BD10" i="7"/>
  <c r="L11" i="7"/>
  <c r="AH11" i="7"/>
  <c r="BD11" i="7"/>
  <c r="L14" i="7"/>
  <c r="AH14" i="7"/>
  <c r="BD14" i="7"/>
  <c r="L15" i="7"/>
  <c r="AH15" i="7"/>
  <c r="BD15" i="7"/>
  <c r="L16" i="7"/>
  <c r="AH16" i="7"/>
  <c r="BD16" i="7"/>
  <c r="L17" i="7"/>
  <c r="AH17" i="7"/>
  <c r="BD17" i="7"/>
  <c r="L18" i="7"/>
  <c r="AH18" i="7"/>
  <c r="BD18" i="7"/>
  <c r="L19" i="7"/>
  <c r="AH19" i="7"/>
  <c r="BD19" i="7"/>
  <c r="L20" i="7"/>
  <c r="AH20" i="7"/>
  <c r="BD20" i="7"/>
  <c r="L21" i="7"/>
  <c r="AH21" i="7"/>
  <c r="BD21" i="7"/>
  <c r="B30" i="1"/>
  <c r="C30" i="1"/>
  <c r="B31" i="1"/>
  <c r="B61" i="1"/>
  <c r="K5" i="5"/>
  <c r="AA5" i="5"/>
  <c r="AQ5" i="5"/>
  <c r="G6" i="5"/>
  <c r="H6" i="5"/>
  <c r="K6" i="5"/>
  <c r="L6" i="5"/>
  <c r="W6" i="5"/>
  <c r="X6" i="5"/>
  <c r="AA6" i="5"/>
  <c r="AB6" i="5"/>
  <c r="AM6" i="5"/>
  <c r="AN6" i="5"/>
  <c r="AQ6" i="5"/>
  <c r="AR6" i="5"/>
  <c r="G7" i="5"/>
  <c r="H7" i="5"/>
  <c r="K7" i="5"/>
  <c r="L7" i="5"/>
  <c r="W7" i="5"/>
  <c r="X7" i="5"/>
  <c r="AA7" i="5"/>
  <c r="AB7" i="5"/>
  <c r="AM7" i="5"/>
  <c r="AN7" i="5"/>
  <c r="AQ7" i="5"/>
  <c r="AR7" i="5"/>
  <c r="G8" i="5"/>
  <c r="H8" i="5"/>
  <c r="K8" i="5"/>
  <c r="L8" i="5"/>
  <c r="W8" i="5"/>
  <c r="X8" i="5"/>
  <c r="AA8" i="5"/>
  <c r="AB8" i="5"/>
  <c r="AM8" i="5"/>
  <c r="AN8" i="5"/>
  <c r="AQ8" i="5"/>
  <c r="AR8" i="5"/>
  <c r="G9" i="5"/>
  <c r="H9" i="5"/>
  <c r="K9" i="5"/>
  <c r="L9" i="5"/>
  <c r="W9" i="5"/>
  <c r="X9" i="5"/>
  <c r="AA9" i="5"/>
  <c r="AB9" i="5"/>
  <c r="AM9" i="5"/>
  <c r="AN9" i="5"/>
  <c r="AQ9" i="5"/>
  <c r="AR9" i="5"/>
  <c r="G10" i="5"/>
  <c r="H10" i="5"/>
  <c r="K10" i="5"/>
  <c r="L10" i="5"/>
  <c r="W10" i="5"/>
  <c r="X10" i="5"/>
  <c r="AA10" i="5"/>
  <c r="AB10" i="5"/>
  <c r="AM10" i="5"/>
  <c r="AN10" i="5"/>
  <c r="AQ10" i="5"/>
  <c r="AR10" i="5"/>
  <c r="G11" i="5"/>
  <c r="H11" i="5"/>
  <c r="K11" i="5"/>
  <c r="L11" i="5"/>
  <c r="W11" i="5"/>
  <c r="X11" i="5"/>
  <c r="AA11" i="5"/>
  <c r="AB11" i="5"/>
  <c r="AM11" i="5"/>
  <c r="AN11" i="5"/>
  <c r="AQ11" i="5"/>
  <c r="AR11" i="5"/>
  <c r="G12" i="5"/>
  <c r="H12" i="5"/>
  <c r="K12" i="5"/>
  <c r="L12" i="5"/>
  <c r="W12" i="5"/>
  <c r="X12" i="5"/>
  <c r="AA12" i="5"/>
  <c r="AB12" i="5"/>
  <c r="AM12" i="5"/>
  <c r="AN12" i="5"/>
  <c r="AQ12" i="5"/>
  <c r="AR12" i="5"/>
  <c r="G13" i="5"/>
  <c r="H13" i="5"/>
  <c r="K13" i="5"/>
  <c r="L13" i="5"/>
  <c r="W13" i="5"/>
  <c r="X13" i="5"/>
  <c r="AA13" i="5"/>
  <c r="AB13" i="5"/>
  <c r="AM13" i="5"/>
  <c r="AN13" i="5"/>
  <c r="AQ13" i="5"/>
  <c r="AR13" i="5"/>
  <c r="G14" i="5"/>
  <c r="H14" i="5"/>
  <c r="K14" i="5"/>
  <c r="L14" i="5"/>
  <c r="W14" i="5"/>
  <c r="X14" i="5"/>
  <c r="AA14" i="5"/>
  <c r="AB14" i="5"/>
  <c r="AM14" i="5"/>
  <c r="AN14" i="5"/>
  <c r="AQ14" i="5"/>
  <c r="AR14" i="5"/>
  <c r="G15" i="5"/>
  <c r="H15" i="5"/>
  <c r="K15" i="5"/>
  <c r="L15" i="5"/>
  <c r="W15" i="5"/>
  <c r="X15" i="5"/>
  <c r="AA15" i="5"/>
  <c r="AB15" i="5"/>
  <c r="AM15" i="5"/>
  <c r="AN15" i="5"/>
  <c r="AQ15" i="5"/>
  <c r="AR15" i="5"/>
  <c r="G16" i="5"/>
  <c r="H16" i="5"/>
  <c r="K16" i="5"/>
  <c r="L16" i="5"/>
  <c r="W16" i="5"/>
  <c r="X16" i="5"/>
  <c r="AA16" i="5"/>
  <c r="AB16" i="5"/>
  <c r="AM16" i="5"/>
  <c r="AN16" i="5"/>
  <c r="AQ16" i="5"/>
  <c r="AR16" i="5"/>
  <c r="G17" i="5"/>
  <c r="H17" i="5"/>
  <c r="K17" i="5"/>
  <c r="L17" i="5"/>
  <c r="W17" i="5"/>
  <c r="X17" i="5"/>
  <c r="AA17" i="5"/>
  <c r="AB17" i="5"/>
  <c r="AM17" i="5"/>
  <c r="AN17" i="5"/>
  <c r="AQ17" i="5"/>
  <c r="AR17" i="5"/>
  <c r="G18" i="5"/>
  <c r="H18" i="5"/>
  <c r="K18" i="5"/>
  <c r="L18" i="5"/>
  <c r="W18" i="5"/>
  <c r="X18" i="5"/>
  <c r="AA18" i="5"/>
  <c r="AB18" i="5"/>
  <c r="AM18" i="5"/>
  <c r="AN18" i="5"/>
  <c r="AQ18" i="5"/>
  <c r="AR18" i="5"/>
  <c r="G19" i="5"/>
  <c r="H19" i="5"/>
  <c r="K19" i="5"/>
  <c r="L19" i="5"/>
  <c r="W19" i="5"/>
  <c r="X19" i="5"/>
  <c r="AA19" i="5"/>
  <c r="AB19" i="5"/>
  <c r="AM19" i="5"/>
  <c r="AN19" i="5"/>
  <c r="AQ19" i="5"/>
  <c r="AR19" i="5"/>
  <c r="G20" i="5"/>
  <c r="H20" i="5"/>
  <c r="K20" i="5"/>
  <c r="L20" i="5"/>
  <c r="W20" i="5"/>
  <c r="X20" i="5"/>
  <c r="AA20" i="5"/>
  <c r="AB20" i="5"/>
  <c r="AM20" i="5"/>
  <c r="AN20" i="5"/>
  <c r="AQ20" i="5"/>
  <c r="AR20" i="5"/>
  <c r="G21" i="5"/>
  <c r="H21" i="5"/>
  <c r="K21" i="5"/>
  <c r="L21" i="5"/>
  <c r="W21" i="5"/>
  <c r="X21" i="5"/>
  <c r="AA21" i="5"/>
  <c r="AB21" i="5"/>
  <c r="AM21" i="5"/>
  <c r="AN21" i="5"/>
  <c r="AQ21" i="5"/>
  <c r="AR21" i="5"/>
  <c r="G22" i="5"/>
  <c r="H22" i="5"/>
  <c r="K22" i="5"/>
  <c r="L22" i="5"/>
  <c r="W22" i="5"/>
  <c r="X22" i="5"/>
  <c r="AA22" i="5"/>
  <c r="AB22" i="5"/>
  <c r="AM22" i="5"/>
  <c r="AN22" i="5"/>
  <c r="AQ22" i="5"/>
  <c r="AR22" i="5"/>
  <c r="G23" i="5"/>
  <c r="H23" i="5"/>
  <c r="K23" i="5"/>
  <c r="L23" i="5"/>
  <c r="W23" i="5"/>
  <c r="X23" i="5"/>
  <c r="AA23" i="5"/>
  <c r="AB23" i="5"/>
  <c r="AM23" i="5"/>
  <c r="AN23" i="5"/>
  <c r="AQ23" i="5"/>
  <c r="AR23" i="5"/>
  <c r="G24" i="5"/>
  <c r="H24" i="5"/>
  <c r="K24" i="5"/>
  <c r="L24" i="5"/>
  <c r="W24" i="5"/>
  <c r="X24" i="5"/>
  <c r="AA24" i="5"/>
  <c r="AB24" i="5"/>
  <c r="AM24" i="5"/>
  <c r="AN24" i="5"/>
  <c r="AQ24" i="5"/>
  <c r="AR24" i="5"/>
  <c r="G25" i="5"/>
  <c r="H25" i="5"/>
  <c r="K25" i="5"/>
  <c r="L25" i="5"/>
  <c r="W25" i="5"/>
  <c r="X25" i="5"/>
  <c r="AA25" i="5"/>
  <c r="AB25" i="5"/>
  <c r="AM25" i="5"/>
  <c r="AN25" i="5"/>
  <c r="AQ25" i="5"/>
  <c r="AR25" i="5"/>
  <c r="G26" i="5"/>
  <c r="H26" i="5"/>
  <c r="K26" i="5"/>
  <c r="L26" i="5"/>
  <c r="W26" i="5"/>
  <c r="X26" i="5"/>
  <c r="AA26" i="5"/>
  <c r="AB26" i="5"/>
  <c r="AM26" i="5"/>
  <c r="AN26" i="5"/>
  <c r="AQ26" i="5"/>
  <c r="AR26" i="5"/>
  <c r="G27" i="5"/>
  <c r="H27" i="5"/>
  <c r="K27" i="5"/>
  <c r="L27" i="5"/>
  <c r="W27" i="5"/>
  <c r="X27" i="5"/>
  <c r="AA27" i="5"/>
  <c r="AB27" i="5"/>
  <c r="AM27" i="5"/>
  <c r="AN27" i="5"/>
  <c r="AQ27" i="5"/>
  <c r="AR27" i="5"/>
  <c r="G28" i="5"/>
  <c r="H28" i="5"/>
  <c r="K28" i="5"/>
  <c r="L28" i="5"/>
  <c r="W28" i="5"/>
  <c r="X28" i="5"/>
  <c r="AA28" i="5"/>
  <c r="AB28" i="5"/>
  <c r="AM28" i="5"/>
  <c r="AN28" i="5"/>
  <c r="AQ28" i="5"/>
  <c r="AR28" i="5"/>
  <c r="G29" i="5"/>
  <c r="H29" i="5"/>
  <c r="K29" i="5"/>
  <c r="L29" i="5"/>
  <c r="W29" i="5"/>
  <c r="X29" i="5"/>
  <c r="AA29" i="5"/>
  <c r="AB29" i="5"/>
  <c r="AM29" i="5"/>
  <c r="AN29" i="5"/>
  <c r="AQ29" i="5"/>
  <c r="AR29" i="5"/>
  <c r="G30" i="5"/>
  <c r="H30" i="5"/>
  <c r="K30" i="5"/>
  <c r="L30" i="5"/>
  <c r="W30" i="5"/>
  <c r="X30" i="5"/>
  <c r="AA30" i="5"/>
  <c r="AB30" i="5"/>
  <c r="AM30" i="5"/>
  <c r="AN30" i="5"/>
  <c r="AQ30" i="5"/>
  <c r="AR30" i="5"/>
  <c r="G31" i="5"/>
  <c r="H31" i="5"/>
  <c r="K31" i="5"/>
  <c r="L31" i="5"/>
  <c r="W31" i="5"/>
  <c r="X31" i="5"/>
  <c r="AA31" i="5"/>
  <c r="AB31" i="5"/>
  <c r="AM31" i="5"/>
  <c r="AN31" i="5"/>
  <c r="AQ31" i="5"/>
  <c r="AR31" i="5"/>
  <c r="G32" i="5"/>
  <c r="H32" i="5"/>
  <c r="K32" i="5"/>
  <c r="L32" i="5"/>
  <c r="W32" i="5"/>
  <c r="X32" i="5"/>
  <c r="AA32" i="5"/>
  <c r="AB32" i="5"/>
  <c r="AM32" i="5"/>
  <c r="AN32" i="5"/>
  <c r="AQ32" i="5"/>
  <c r="AR32" i="5"/>
  <c r="G33" i="5"/>
  <c r="H33" i="5"/>
  <c r="K33" i="5"/>
  <c r="L33" i="5"/>
  <c r="W33" i="5"/>
  <c r="X33" i="5"/>
  <c r="AA33" i="5"/>
  <c r="AB33" i="5"/>
  <c r="AM33" i="5"/>
  <c r="AN33" i="5"/>
  <c r="AQ33" i="5"/>
  <c r="AR33" i="5"/>
  <c r="G34" i="5"/>
  <c r="H34" i="5"/>
  <c r="K34" i="5"/>
  <c r="L34" i="5"/>
  <c r="W34" i="5"/>
  <c r="X34" i="5"/>
  <c r="AA34" i="5"/>
  <c r="AB34" i="5"/>
  <c r="AM34" i="5"/>
  <c r="AN34" i="5"/>
  <c r="AQ34" i="5"/>
  <c r="AR34" i="5"/>
  <c r="G35" i="5"/>
  <c r="H35" i="5"/>
  <c r="K35" i="5"/>
  <c r="L35" i="5"/>
  <c r="W35" i="5"/>
  <c r="X35" i="5"/>
  <c r="AA35" i="5"/>
  <c r="AB35" i="5"/>
  <c r="AM35" i="5"/>
  <c r="AN35" i="5"/>
  <c r="AQ35" i="5"/>
  <c r="AR35" i="5"/>
  <c r="G36" i="5"/>
  <c r="H36" i="5"/>
  <c r="K36" i="5"/>
  <c r="L36" i="5"/>
  <c r="W36" i="5"/>
  <c r="X36" i="5"/>
  <c r="AA36" i="5"/>
  <c r="AB36" i="5"/>
  <c r="AM36" i="5"/>
  <c r="AN36" i="5"/>
  <c r="AQ36" i="5"/>
  <c r="AR36" i="5"/>
  <c r="G37" i="5"/>
  <c r="H37" i="5"/>
  <c r="K37" i="5"/>
  <c r="L37" i="5"/>
  <c r="W37" i="5"/>
  <c r="X37" i="5"/>
  <c r="AA37" i="5"/>
  <c r="AB37" i="5"/>
  <c r="AM37" i="5"/>
  <c r="AN37" i="5"/>
  <c r="AQ37" i="5"/>
  <c r="AR37" i="5"/>
  <c r="G38" i="5"/>
  <c r="H38" i="5"/>
  <c r="K38" i="5"/>
  <c r="L38" i="5"/>
  <c r="W38" i="5"/>
  <c r="X38" i="5"/>
  <c r="AA38" i="5"/>
  <c r="AB38" i="5"/>
  <c r="AM38" i="5"/>
  <c r="AN38" i="5"/>
  <c r="AQ38" i="5"/>
  <c r="AR38" i="5"/>
  <c r="G39" i="5"/>
  <c r="H39" i="5"/>
  <c r="K39" i="5"/>
  <c r="L39" i="5"/>
  <c r="W39" i="5"/>
  <c r="X39" i="5"/>
  <c r="AA39" i="5"/>
  <c r="AB39" i="5"/>
  <c r="AM39" i="5"/>
  <c r="AN39" i="5"/>
  <c r="AQ39" i="5"/>
  <c r="AR39" i="5"/>
  <c r="G40" i="5"/>
  <c r="H40" i="5"/>
  <c r="K40" i="5"/>
  <c r="L40" i="5"/>
  <c r="W40" i="5"/>
  <c r="X40" i="5"/>
  <c r="AA40" i="5"/>
  <c r="AB40" i="5"/>
  <c r="AM40" i="5"/>
  <c r="AN40" i="5"/>
  <c r="AQ40" i="5"/>
  <c r="AR40" i="5"/>
  <c r="G41" i="5"/>
  <c r="H41" i="5"/>
  <c r="K41" i="5"/>
  <c r="L41" i="5"/>
  <c r="W41" i="5"/>
  <c r="X41" i="5"/>
  <c r="AA41" i="5"/>
  <c r="AB41" i="5"/>
  <c r="AM41" i="5"/>
  <c r="AN41" i="5"/>
  <c r="AQ41" i="5"/>
  <c r="AR41" i="5"/>
  <c r="G42" i="5"/>
  <c r="H42" i="5"/>
  <c r="K42" i="5"/>
  <c r="L42" i="5"/>
  <c r="W42" i="5"/>
  <c r="X42" i="5"/>
  <c r="AA42" i="5"/>
  <c r="AB42" i="5"/>
  <c r="AM42" i="5"/>
  <c r="AN42" i="5"/>
  <c r="AQ42" i="5"/>
  <c r="AR42" i="5"/>
  <c r="G43" i="5"/>
  <c r="H43" i="5"/>
  <c r="K43" i="5"/>
  <c r="L43" i="5"/>
  <c r="W43" i="5"/>
  <c r="X43" i="5"/>
  <c r="AA43" i="5"/>
  <c r="AB43" i="5"/>
  <c r="AM43" i="5"/>
  <c r="AN43" i="5"/>
  <c r="AQ43" i="5"/>
  <c r="AR43" i="5"/>
  <c r="G44" i="5"/>
  <c r="H44" i="5"/>
  <c r="K44" i="5"/>
  <c r="L44" i="5"/>
  <c r="W44" i="5"/>
  <c r="X44" i="5"/>
  <c r="AA44" i="5"/>
  <c r="AB44" i="5"/>
  <c r="AM44" i="5"/>
  <c r="AN44" i="5"/>
  <c r="AQ44" i="5"/>
  <c r="AR44" i="5"/>
  <c r="G45" i="5"/>
  <c r="H45" i="5"/>
  <c r="K45" i="5"/>
  <c r="L45" i="5"/>
  <c r="W45" i="5"/>
  <c r="X45" i="5"/>
  <c r="AA45" i="5"/>
  <c r="AB45" i="5"/>
  <c r="AM45" i="5"/>
  <c r="AN45" i="5"/>
  <c r="AQ45" i="5"/>
  <c r="AR45" i="5"/>
  <c r="G49" i="5"/>
  <c r="H49" i="5"/>
  <c r="K49" i="5"/>
  <c r="L49" i="5"/>
  <c r="W49" i="5"/>
  <c r="X49" i="5"/>
  <c r="AA49" i="5"/>
  <c r="AB49" i="5"/>
  <c r="AM49" i="5"/>
  <c r="AN49" i="5"/>
  <c r="AQ49" i="5"/>
  <c r="AR49" i="5"/>
  <c r="G50" i="5"/>
  <c r="H50" i="5"/>
  <c r="K50" i="5"/>
  <c r="L50" i="5"/>
  <c r="W50" i="5"/>
  <c r="X50" i="5"/>
  <c r="AA50" i="5"/>
  <c r="AB50" i="5"/>
  <c r="AM50" i="5"/>
  <c r="AN50" i="5"/>
  <c r="AQ50" i="5"/>
  <c r="AR50" i="5"/>
  <c r="G51" i="5"/>
  <c r="H51" i="5"/>
  <c r="K51" i="5"/>
  <c r="L51" i="5"/>
  <c r="W51" i="5"/>
  <c r="X51" i="5"/>
  <c r="AA51" i="5"/>
  <c r="AB51" i="5"/>
  <c r="AM51" i="5"/>
  <c r="AN51" i="5"/>
  <c r="AQ51" i="5"/>
  <c r="AR51" i="5"/>
  <c r="G52" i="5"/>
  <c r="H52" i="5"/>
  <c r="K52" i="5"/>
  <c r="L52" i="5"/>
  <c r="W52" i="5"/>
  <c r="X52" i="5"/>
  <c r="AA52" i="5"/>
  <c r="AB52" i="5"/>
  <c r="AM52" i="5"/>
  <c r="AN52" i="5"/>
  <c r="AQ52" i="5"/>
  <c r="AR52" i="5"/>
  <c r="G53" i="5"/>
  <c r="H53" i="5"/>
  <c r="K53" i="5"/>
  <c r="L53" i="5"/>
  <c r="W53" i="5"/>
  <c r="X53" i="5"/>
  <c r="AA53" i="5"/>
  <c r="AB53" i="5"/>
  <c r="AM53" i="5"/>
  <c r="AN53" i="5"/>
  <c r="AQ53" i="5"/>
  <c r="AR53" i="5"/>
  <c r="G54" i="5"/>
  <c r="H54" i="5"/>
  <c r="K54" i="5"/>
  <c r="L54" i="5"/>
  <c r="W54" i="5"/>
  <c r="X54" i="5"/>
  <c r="AA54" i="5"/>
  <c r="AB54" i="5"/>
  <c r="AM54" i="5"/>
  <c r="AN54" i="5"/>
  <c r="AQ54" i="5"/>
  <c r="AR54" i="5"/>
  <c r="G55" i="5"/>
  <c r="H55" i="5"/>
  <c r="K55" i="5"/>
  <c r="L55" i="5"/>
  <c r="W55" i="5"/>
  <c r="X55" i="5"/>
  <c r="AA55" i="5"/>
  <c r="AB55" i="5"/>
  <c r="AM55" i="5"/>
  <c r="AN55" i="5"/>
  <c r="AQ55" i="5"/>
  <c r="AR55" i="5"/>
  <c r="G56" i="5"/>
  <c r="H56" i="5"/>
  <c r="K56" i="5"/>
  <c r="L56" i="5"/>
  <c r="W56" i="5"/>
  <c r="X56" i="5"/>
  <c r="AA56" i="5"/>
  <c r="AB56" i="5"/>
  <c r="AM56" i="5"/>
  <c r="AN56" i="5"/>
  <c r="AQ56" i="5"/>
  <c r="AR56" i="5"/>
  <c r="G57" i="5"/>
  <c r="H57" i="5"/>
  <c r="K57" i="5"/>
  <c r="L57" i="5"/>
  <c r="W57" i="5"/>
  <c r="X57" i="5"/>
  <c r="AA57" i="5"/>
  <c r="AB57" i="5"/>
  <c r="AM57" i="5"/>
  <c r="AN57" i="5"/>
  <c r="AQ57" i="5"/>
  <c r="AR57" i="5"/>
  <c r="G58" i="5"/>
  <c r="H58" i="5"/>
  <c r="K58" i="5"/>
  <c r="L58" i="5"/>
  <c r="W58" i="5"/>
  <c r="X58" i="5"/>
  <c r="AA58" i="5"/>
  <c r="AB58" i="5"/>
  <c r="AM58" i="5"/>
  <c r="AN58" i="5"/>
  <c r="AQ58" i="5"/>
  <c r="AR58" i="5"/>
  <c r="G59" i="5"/>
  <c r="H59" i="5"/>
  <c r="K59" i="5"/>
  <c r="L59" i="5"/>
  <c r="W59" i="5"/>
  <c r="X59" i="5"/>
  <c r="AA59" i="5"/>
  <c r="AB59" i="5"/>
  <c r="AM59" i="5"/>
  <c r="AN59" i="5"/>
  <c r="AQ59" i="5"/>
  <c r="AR59" i="5"/>
  <c r="G60" i="5"/>
  <c r="H60" i="5"/>
  <c r="K60" i="5"/>
  <c r="L60" i="5"/>
  <c r="W60" i="5"/>
  <c r="X60" i="5"/>
  <c r="AA60" i="5"/>
  <c r="AB60" i="5"/>
  <c r="AM60" i="5"/>
  <c r="AN60" i="5"/>
  <c r="AQ60" i="5"/>
  <c r="AR60" i="5"/>
  <c r="G61" i="5"/>
  <c r="H61" i="5"/>
  <c r="K61" i="5"/>
  <c r="L61" i="5"/>
  <c r="W61" i="5"/>
  <c r="X61" i="5"/>
  <c r="AA61" i="5"/>
  <c r="AB61" i="5"/>
  <c r="AM61" i="5"/>
  <c r="AN61" i="5"/>
  <c r="AQ61" i="5"/>
  <c r="AR61" i="5"/>
  <c r="G62" i="5"/>
  <c r="H62" i="5"/>
  <c r="K62" i="5"/>
  <c r="L62" i="5"/>
  <c r="W62" i="5"/>
  <c r="X62" i="5"/>
  <c r="AA62" i="5"/>
  <c r="AB62" i="5"/>
  <c r="AM62" i="5"/>
  <c r="AN62" i="5"/>
  <c r="AQ62" i="5"/>
  <c r="AR62" i="5"/>
  <c r="G63" i="5"/>
  <c r="H63" i="5"/>
  <c r="K63" i="5"/>
  <c r="L63" i="5"/>
  <c r="W63" i="5"/>
  <c r="X63" i="5"/>
  <c r="AA63" i="5"/>
  <c r="AB63" i="5"/>
  <c r="AM63" i="5"/>
  <c r="AN63" i="5"/>
  <c r="AQ63" i="5"/>
  <c r="AR63" i="5"/>
  <c r="G64" i="5"/>
  <c r="H64" i="5"/>
  <c r="K64" i="5"/>
  <c r="L64" i="5"/>
  <c r="W64" i="5"/>
  <c r="X64" i="5"/>
  <c r="AA64" i="5"/>
  <c r="AB64" i="5"/>
  <c r="AM64" i="5"/>
  <c r="AN64" i="5"/>
  <c r="AQ64" i="5"/>
  <c r="AR64" i="5"/>
  <c r="G65" i="5"/>
  <c r="H65" i="5"/>
  <c r="K65" i="5"/>
  <c r="L65" i="5"/>
  <c r="W65" i="5"/>
  <c r="X65" i="5"/>
  <c r="AA65" i="5"/>
  <c r="AB65" i="5"/>
  <c r="AM65" i="5"/>
  <c r="AN65" i="5"/>
  <c r="AQ65" i="5"/>
  <c r="AR65" i="5"/>
  <c r="G66" i="5"/>
  <c r="H66" i="5"/>
  <c r="K66" i="5"/>
  <c r="L66" i="5"/>
  <c r="W66" i="5"/>
  <c r="X66" i="5"/>
  <c r="AA66" i="5"/>
  <c r="AB66" i="5"/>
  <c r="AM66" i="5"/>
  <c r="AN66" i="5"/>
  <c r="AQ66" i="5"/>
  <c r="AR66" i="5"/>
  <c r="G67" i="5"/>
  <c r="H67" i="5"/>
  <c r="K67" i="5"/>
  <c r="L67" i="5"/>
  <c r="W67" i="5"/>
  <c r="X67" i="5"/>
  <c r="AA67" i="5"/>
  <c r="AB67" i="5"/>
  <c r="AM67" i="5"/>
  <c r="AN67" i="5"/>
  <c r="AQ67" i="5"/>
  <c r="AR67" i="5"/>
  <c r="G68" i="5"/>
  <c r="H68" i="5"/>
  <c r="K68" i="5"/>
  <c r="L68" i="5"/>
  <c r="W68" i="5"/>
  <c r="X68" i="5"/>
  <c r="AA68" i="5"/>
  <c r="AB68" i="5"/>
  <c r="AM68" i="5"/>
  <c r="AN68" i="5"/>
  <c r="AQ68" i="5"/>
  <c r="AR68" i="5"/>
  <c r="G69" i="5"/>
  <c r="H69" i="5"/>
  <c r="K69" i="5"/>
  <c r="L69" i="5"/>
  <c r="W69" i="5"/>
  <c r="X69" i="5"/>
  <c r="AA69" i="5"/>
  <c r="AB69" i="5"/>
  <c r="AM69" i="5"/>
  <c r="AN69" i="5"/>
  <c r="AQ69" i="5"/>
  <c r="AR69" i="5"/>
  <c r="G70" i="5"/>
  <c r="H70" i="5"/>
  <c r="K70" i="5"/>
  <c r="L70" i="5"/>
  <c r="W70" i="5"/>
  <c r="X70" i="5"/>
  <c r="AA70" i="5"/>
  <c r="AB70" i="5"/>
  <c r="AM70" i="5"/>
  <c r="AN70" i="5"/>
  <c r="AQ70" i="5"/>
  <c r="AR70" i="5"/>
  <c r="G71" i="5"/>
  <c r="H71" i="5"/>
  <c r="K71" i="5"/>
  <c r="L71" i="5"/>
  <c r="W71" i="5"/>
  <c r="X71" i="5"/>
  <c r="AA71" i="5"/>
  <c r="AB71" i="5"/>
  <c r="AM71" i="5"/>
  <c r="AN71" i="5"/>
  <c r="AQ71" i="5"/>
  <c r="AR71" i="5"/>
  <c r="G72" i="5"/>
  <c r="H72" i="5"/>
  <c r="K72" i="5"/>
  <c r="L72" i="5"/>
  <c r="W72" i="5"/>
  <c r="X72" i="5"/>
  <c r="AA72" i="5"/>
  <c r="AB72" i="5"/>
  <c r="AM72" i="5"/>
  <c r="AN72" i="5"/>
  <c r="AQ72" i="5"/>
  <c r="AR72" i="5"/>
  <c r="G73" i="5"/>
  <c r="H73" i="5"/>
  <c r="K73" i="5"/>
  <c r="L73" i="5"/>
  <c r="W73" i="5"/>
  <c r="X73" i="5"/>
  <c r="AA73" i="5"/>
  <c r="AB73" i="5"/>
  <c r="AM73" i="5"/>
  <c r="AN73" i="5"/>
  <c r="AQ73" i="5"/>
  <c r="AR73" i="5"/>
  <c r="G74" i="5"/>
  <c r="H74" i="5"/>
  <c r="K74" i="5"/>
  <c r="L74" i="5"/>
  <c r="W74" i="5"/>
  <c r="X74" i="5"/>
  <c r="AA74" i="5"/>
  <c r="AB74" i="5"/>
  <c r="AM74" i="5"/>
  <c r="AN74" i="5"/>
  <c r="AQ74" i="5"/>
  <c r="AR74" i="5"/>
  <c r="G75" i="5"/>
  <c r="H75" i="5"/>
  <c r="K75" i="5"/>
  <c r="L75" i="5"/>
  <c r="W75" i="5"/>
  <c r="X75" i="5"/>
  <c r="AA75" i="5"/>
  <c r="AB75" i="5"/>
  <c r="AM75" i="5"/>
  <c r="AN75" i="5"/>
  <c r="AQ75" i="5"/>
  <c r="AR75" i="5"/>
  <c r="G76" i="5"/>
  <c r="H76" i="5"/>
  <c r="K76" i="5"/>
  <c r="L76" i="5"/>
  <c r="W76" i="5"/>
  <c r="X76" i="5"/>
  <c r="AA76" i="5"/>
  <c r="AB76" i="5"/>
  <c r="AM76" i="5"/>
  <c r="AN76" i="5"/>
  <c r="AQ76" i="5"/>
  <c r="AR76" i="5"/>
  <c r="G77" i="5"/>
  <c r="H77" i="5"/>
  <c r="K77" i="5"/>
  <c r="L77" i="5"/>
  <c r="W77" i="5"/>
  <c r="X77" i="5"/>
  <c r="AA77" i="5"/>
  <c r="AB77" i="5"/>
  <c r="AM77" i="5"/>
  <c r="AN77" i="5"/>
  <c r="AQ77" i="5"/>
  <c r="AR77" i="5"/>
  <c r="G78" i="5"/>
  <c r="H78" i="5"/>
  <c r="K78" i="5"/>
  <c r="L78" i="5"/>
  <c r="W78" i="5"/>
  <c r="X78" i="5"/>
  <c r="AA78" i="5"/>
  <c r="AB78" i="5"/>
  <c r="AM78" i="5"/>
  <c r="AN78" i="5"/>
  <c r="AQ78" i="5"/>
  <c r="AR78" i="5"/>
  <c r="G79" i="5"/>
  <c r="H79" i="5"/>
  <c r="K79" i="5"/>
  <c r="L79" i="5"/>
  <c r="W79" i="5"/>
  <c r="X79" i="5"/>
  <c r="AA79" i="5"/>
  <c r="AB79" i="5"/>
  <c r="AM79" i="5"/>
  <c r="AN79" i="5"/>
  <c r="AQ79" i="5"/>
  <c r="AR79" i="5"/>
  <c r="G80" i="5"/>
  <c r="H80" i="5"/>
  <c r="K80" i="5"/>
  <c r="L80" i="5"/>
  <c r="W80" i="5"/>
  <c r="X80" i="5"/>
  <c r="AA80" i="5"/>
  <c r="AB80" i="5"/>
  <c r="AM80" i="5"/>
  <c r="AN80" i="5"/>
  <c r="AQ80" i="5"/>
  <c r="AR80" i="5"/>
  <c r="G81" i="5"/>
  <c r="H81" i="5"/>
  <c r="K81" i="5"/>
  <c r="L81" i="5"/>
  <c r="W81" i="5"/>
  <c r="X81" i="5"/>
  <c r="AA81" i="5"/>
  <c r="AB81" i="5"/>
  <c r="AM81" i="5"/>
  <c r="AN81" i="5"/>
  <c r="AQ81" i="5"/>
  <c r="AR81" i="5"/>
  <c r="G82" i="5"/>
  <c r="H82" i="5"/>
  <c r="K82" i="5"/>
  <c r="L82" i="5"/>
  <c r="W82" i="5"/>
  <c r="X82" i="5"/>
  <c r="AA82" i="5"/>
  <c r="AB82" i="5"/>
  <c r="AM82" i="5"/>
  <c r="AN82" i="5"/>
  <c r="AQ82" i="5"/>
  <c r="AR82" i="5"/>
  <c r="G83" i="5"/>
  <c r="H83" i="5"/>
  <c r="K83" i="5"/>
  <c r="L83" i="5"/>
  <c r="W83" i="5"/>
  <c r="X83" i="5"/>
  <c r="AA83" i="5"/>
  <c r="AB83" i="5"/>
  <c r="AM83" i="5"/>
  <c r="AN83" i="5"/>
  <c r="AQ83" i="5"/>
  <c r="AR83" i="5"/>
  <c r="G84" i="5"/>
  <c r="H84" i="5"/>
  <c r="K84" i="5"/>
  <c r="L84" i="5"/>
  <c r="W84" i="5"/>
  <c r="X84" i="5"/>
  <c r="AA84" i="5"/>
  <c r="AB84" i="5"/>
  <c r="AM84" i="5"/>
  <c r="AN84" i="5"/>
  <c r="AQ84" i="5"/>
  <c r="AR84" i="5"/>
  <c r="G85" i="5"/>
  <c r="H85" i="5"/>
  <c r="K85" i="5"/>
  <c r="L85" i="5"/>
  <c r="W85" i="5"/>
  <c r="X85" i="5"/>
  <c r="AA85" i="5"/>
  <c r="AB85" i="5"/>
  <c r="AM85" i="5"/>
  <c r="AN85" i="5"/>
  <c r="AQ85" i="5"/>
  <c r="AR85" i="5"/>
  <c r="G86" i="5"/>
  <c r="H86" i="5"/>
  <c r="K86" i="5"/>
  <c r="L86" i="5"/>
  <c r="W86" i="5"/>
  <c r="X86" i="5"/>
  <c r="AA86" i="5"/>
  <c r="AB86" i="5"/>
  <c r="AM86" i="5"/>
  <c r="AN86" i="5"/>
  <c r="AQ86" i="5"/>
  <c r="AR86" i="5"/>
  <c r="G87" i="5"/>
  <c r="H87" i="5"/>
  <c r="K87" i="5"/>
  <c r="L87" i="5"/>
  <c r="W87" i="5"/>
  <c r="X87" i="5"/>
  <c r="AA87" i="5"/>
  <c r="AB87" i="5"/>
  <c r="AM87" i="5"/>
  <c r="AN87" i="5"/>
  <c r="AQ87" i="5"/>
  <c r="AR87" i="5"/>
  <c r="G88" i="5"/>
  <c r="H88" i="5"/>
  <c r="K88" i="5"/>
  <c r="L88" i="5"/>
  <c r="W88" i="5"/>
  <c r="X88" i="5"/>
  <c r="AA88" i="5"/>
  <c r="AB88" i="5"/>
  <c r="AM88" i="5"/>
  <c r="AN88" i="5"/>
  <c r="AQ88" i="5"/>
  <c r="AR88" i="5"/>
  <c r="G89" i="5"/>
  <c r="H89" i="5"/>
  <c r="K89" i="5"/>
  <c r="L89" i="5"/>
  <c r="W89" i="5"/>
  <c r="X89" i="5"/>
  <c r="AA89" i="5"/>
  <c r="AB89" i="5"/>
  <c r="AM89" i="5"/>
  <c r="AN89" i="5"/>
  <c r="AQ89" i="5"/>
  <c r="AR89" i="5"/>
  <c r="G4" i="7"/>
  <c r="I4" i="7"/>
  <c r="AC4" i="7"/>
  <c r="AE4" i="7"/>
  <c r="AY4" i="7"/>
  <c r="BA4" i="7"/>
  <c r="G5" i="7"/>
  <c r="I5" i="7"/>
  <c r="AC5" i="7"/>
  <c r="AE5" i="7"/>
  <c r="AY5" i="7"/>
  <c r="BA5" i="7"/>
  <c r="G6" i="7"/>
  <c r="I6" i="7"/>
  <c r="AC6" i="7"/>
  <c r="AE6" i="7"/>
  <c r="AY6" i="7"/>
  <c r="BA6" i="7"/>
  <c r="G7" i="7"/>
  <c r="I7" i="7"/>
  <c r="AC7" i="7"/>
  <c r="AE7" i="7"/>
  <c r="AY7" i="7"/>
  <c r="BA7" i="7"/>
  <c r="G8" i="7"/>
  <c r="I8" i="7"/>
  <c r="AC8" i="7"/>
  <c r="AE8" i="7"/>
  <c r="AY8" i="7"/>
  <c r="BA8" i="7"/>
  <c r="G9" i="7"/>
  <c r="I9" i="7"/>
  <c r="AC9" i="7"/>
  <c r="AE9" i="7"/>
  <c r="AY9" i="7"/>
  <c r="BA9" i="7"/>
  <c r="G10" i="7"/>
  <c r="I10" i="7"/>
  <c r="AC10" i="7"/>
  <c r="AE10" i="7"/>
  <c r="AY10" i="7"/>
  <c r="BA10" i="7"/>
  <c r="G11" i="7"/>
  <c r="I11" i="7"/>
  <c r="AC11" i="7"/>
  <c r="AE11" i="7"/>
  <c r="AY11" i="7"/>
  <c r="BA11" i="7"/>
  <c r="G14" i="7"/>
  <c r="I14" i="7"/>
  <c r="AC14" i="7"/>
  <c r="AE14" i="7"/>
  <c r="AY14" i="7"/>
  <c r="BA14" i="7"/>
  <c r="G15" i="7"/>
  <c r="I15" i="7"/>
  <c r="AC15" i="7"/>
  <c r="AE15" i="7"/>
  <c r="AY15" i="7"/>
  <c r="BA15" i="7"/>
  <c r="G16" i="7"/>
  <c r="I16" i="7"/>
  <c r="AC16" i="7"/>
  <c r="AE16" i="7"/>
  <c r="AY16" i="7"/>
  <c r="BA16" i="7"/>
  <c r="G17" i="7"/>
  <c r="I17" i="7"/>
  <c r="AC17" i="7"/>
  <c r="AE17" i="7"/>
  <c r="AY17" i="7"/>
  <c r="BA17" i="7"/>
  <c r="G18" i="7"/>
  <c r="I18" i="7"/>
  <c r="AC18" i="7"/>
  <c r="AE18" i="7"/>
  <c r="AY18" i="7"/>
  <c r="BA18" i="7"/>
  <c r="G19" i="7"/>
  <c r="I19" i="7"/>
  <c r="AC19" i="7"/>
  <c r="AE19" i="7"/>
  <c r="AY19" i="7"/>
  <c r="BA19" i="7"/>
  <c r="G20" i="7"/>
  <c r="I20" i="7"/>
  <c r="AC20" i="7"/>
  <c r="AE20" i="7"/>
  <c r="AY20" i="7"/>
  <c r="BA20" i="7"/>
  <c r="G21" i="7"/>
  <c r="I21" i="7"/>
  <c r="AC21" i="7"/>
  <c r="AE21" i="7"/>
  <c r="AY21" i="7"/>
  <c r="BA21" i="7"/>
  <c r="B16" i="6"/>
  <c r="L5" i="5" l="1"/>
  <c r="G5" i="5"/>
  <c r="X5" i="5"/>
  <c r="H5" i="5"/>
  <c r="W5" i="5"/>
  <c r="AN5" i="5"/>
  <c r="AM5" i="5"/>
  <c r="AR5" i="5"/>
  <c r="AB5" i="5"/>
  <c r="B64" i="1" l="1"/>
  <c r="C68" i="1" s="1"/>
  <c r="B25" i="1" l="1"/>
  <c r="C25" i="1"/>
  <c r="D25" i="1"/>
  <c r="B27" i="1"/>
  <c r="E28" i="1"/>
  <c r="B36" i="1"/>
  <c r="B39" i="1"/>
  <c r="B40" i="1"/>
  <c r="B41" i="1"/>
  <c r="B42" i="1"/>
  <c r="B43" i="1"/>
  <c r="B49" i="1"/>
  <c r="B53" i="1"/>
  <c r="B54" i="1"/>
  <c r="D5" i="5"/>
  <c r="E5" i="5"/>
  <c r="F5" i="5"/>
  <c r="I5" i="5"/>
  <c r="J5" i="5"/>
  <c r="M5" i="5"/>
  <c r="N5" i="5"/>
  <c r="O5" i="5"/>
  <c r="P5" i="5"/>
  <c r="Q5" i="5"/>
  <c r="R5" i="5"/>
  <c r="T5" i="5"/>
  <c r="U5" i="5"/>
  <c r="V5" i="5"/>
  <c r="Y5" i="5"/>
  <c r="Z5" i="5"/>
  <c r="AC5" i="5"/>
  <c r="AD5" i="5"/>
  <c r="AE5" i="5"/>
  <c r="AF5" i="5"/>
  <c r="AG5" i="5"/>
  <c r="AH5" i="5"/>
  <c r="AJ5" i="5"/>
  <c r="AK5" i="5"/>
  <c r="AL5" i="5"/>
  <c r="AO5" i="5"/>
  <c r="AP5" i="5"/>
  <c r="AS5" i="5"/>
  <c r="AT5" i="5"/>
  <c r="AU5" i="5"/>
  <c r="AV5" i="5"/>
  <c r="AW5" i="5"/>
  <c r="AX5" i="5"/>
  <c r="D6" i="5"/>
  <c r="E6" i="5"/>
  <c r="F6" i="5"/>
  <c r="I6" i="5"/>
  <c r="J6" i="5"/>
  <c r="M6" i="5"/>
  <c r="N6" i="5"/>
  <c r="O6" i="5"/>
  <c r="P6" i="5"/>
  <c r="Q6" i="5"/>
  <c r="R6" i="5"/>
  <c r="T6" i="5"/>
  <c r="U6" i="5"/>
  <c r="V6" i="5"/>
  <c r="Y6" i="5"/>
  <c r="Z6" i="5"/>
  <c r="AC6" i="5"/>
  <c r="AD6" i="5"/>
  <c r="AE6" i="5"/>
  <c r="AF6" i="5"/>
  <c r="AG6" i="5"/>
  <c r="AH6" i="5"/>
  <c r="AJ6" i="5"/>
  <c r="AK6" i="5"/>
  <c r="AL6" i="5"/>
  <c r="AO6" i="5"/>
  <c r="AP6" i="5"/>
  <c r="AS6" i="5"/>
  <c r="AT6" i="5"/>
  <c r="AU6" i="5"/>
  <c r="AV6" i="5"/>
  <c r="AW6" i="5"/>
  <c r="AX6" i="5"/>
  <c r="D7" i="5"/>
  <c r="E7" i="5"/>
  <c r="F7" i="5"/>
  <c r="I7" i="5"/>
  <c r="J7" i="5"/>
  <c r="M7" i="5"/>
  <c r="N7" i="5"/>
  <c r="O7" i="5"/>
  <c r="P7" i="5"/>
  <c r="Q7" i="5"/>
  <c r="R7" i="5"/>
  <c r="T7" i="5"/>
  <c r="U7" i="5"/>
  <c r="V7" i="5"/>
  <c r="Y7" i="5"/>
  <c r="Z7" i="5"/>
  <c r="AC7" i="5"/>
  <c r="AD7" i="5"/>
  <c r="AE7" i="5"/>
  <c r="AF7" i="5"/>
  <c r="AG7" i="5"/>
  <c r="AH7" i="5"/>
  <c r="AJ7" i="5"/>
  <c r="AK7" i="5"/>
  <c r="AL7" i="5"/>
  <c r="AO7" i="5"/>
  <c r="AP7" i="5"/>
  <c r="AS7" i="5"/>
  <c r="AT7" i="5"/>
  <c r="AU7" i="5"/>
  <c r="AV7" i="5"/>
  <c r="AW7" i="5"/>
  <c r="AX7" i="5"/>
  <c r="D8" i="5"/>
  <c r="E8" i="5"/>
  <c r="F8" i="5"/>
  <c r="I8" i="5"/>
  <c r="J8" i="5"/>
  <c r="M8" i="5"/>
  <c r="N8" i="5"/>
  <c r="O8" i="5"/>
  <c r="P8" i="5"/>
  <c r="Q8" i="5"/>
  <c r="R8" i="5"/>
  <c r="T8" i="5"/>
  <c r="U8" i="5"/>
  <c r="V8" i="5"/>
  <c r="Y8" i="5"/>
  <c r="Z8" i="5"/>
  <c r="AC8" i="5"/>
  <c r="AD8" i="5"/>
  <c r="AE8" i="5"/>
  <c r="AF8" i="5"/>
  <c r="AG8" i="5"/>
  <c r="AH8" i="5"/>
  <c r="AJ8" i="5"/>
  <c r="AK8" i="5"/>
  <c r="AL8" i="5"/>
  <c r="AO8" i="5"/>
  <c r="AP8" i="5"/>
  <c r="AS8" i="5"/>
  <c r="AT8" i="5"/>
  <c r="AU8" i="5"/>
  <c r="AV8" i="5"/>
  <c r="AW8" i="5"/>
  <c r="AX8" i="5"/>
  <c r="D9" i="5"/>
  <c r="E9" i="5"/>
  <c r="F9" i="5"/>
  <c r="I9" i="5"/>
  <c r="J9" i="5"/>
  <c r="M9" i="5"/>
  <c r="N9" i="5"/>
  <c r="O9" i="5"/>
  <c r="P9" i="5"/>
  <c r="Q9" i="5"/>
  <c r="R9" i="5"/>
  <c r="T9" i="5"/>
  <c r="U9" i="5"/>
  <c r="V9" i="5"/>
  <c r="Y9" i="5"/>
  <c r="Z9" i="5"/>
  <c r="AC9" i="5"/>
  <c r="AD9" i="5"/>
  <c r="AE9" i="5"/>
  <c r="AF9" i="5"/>
  <c r="AG9" i="5"/>
  <c r="AH9" i="5"/>
  <c r="AJ9" i="5"/>
  <c r="AK9" i="5"/>
  <c r="AL9" i="5"/>
  <c r="AO9" i="5"/>
  <c r="AP9" i="5"/>
  <c r="AS9" i="5"/>
  <c r="AT9" i="5"/>
  <c r="AU9" i="5"/>
  <c r="AV9" i="5"/>
  <c r="AW9" i="5"/>
  <c r="AX9" i="5"/>
  <c r="D10" i="5"/>
  <c r="E10" i="5"/>
  <c r="F10" i="5"/>
  <c r="I10" i="5"/>
  <c r="J10" i="5"/>
  <c r="M10" i="5"/>
  <c r="N10" i="5"/>
  <c r="O10" i="5"/>
  <c r="P10" i="5"/>
  <c r="Q10" i="5"/>
  <c r="R10" i="5"/>
  <c r="T10" i="5"/>
  <c r="U10" i="5"/>
  <c r="V10" i="5"/>
  <c r="Y10" i="5"/>
  <c r="Z10" i="5"/>
  <c r="AC10" i="5"/>
  <c r="AD10" i="5"/>
  <c r="AE10" i="5"/>
  <c r="AF10" i="5"/>
  <c r="AG10" i="5"/>
  <c r="AH10" i="5"/>
  <c r="AJ10" i="5"/>
  <c r="AK10" i="5"/>
  <c r="AL10" i="5"/>
  <c r="AO10" i="5"/>
  <c r="AP10" i="5"/>
  <c r="AS10" i="5"/>
  <c r="AT10" i="5"/>
  <c r="AU10" i="5"/>
  <c r="AV10" i="5"/>
  <c r="AW10" i="5"/>
  <c r="AX10" i="5"/>
  <c r="D11" i="5"/>
  <c r="E11" i="5"/>
  <c r="F11" i="5"/>
  <c r="I11" i="5"/>
  <c r="J11" i="5"/>
  <c r="M11" i="5"/>
  <c r="N11" i="5"/>
  <c r="O11" i="5"/>
  <c r="P11" i="5"/>
  <c r="Q11" i="5"/>
  <c r="R11" i="5"/>
  <c r="T11" i="5"/>
  <c r="U11" i="5"/>
  <c r="V11" i="5"/>
  <c r="Y11" i="5"/>
  <c r="Z11" i="5"/>
  <c r="AC11" i="5"/>
  <c r="AD11" i="5"/>
  <c r="AE11" i="5"/>
  <c r="AF11" i="5"/>
  <c r="AG11" i="5"/>
  <c r="AH11" i="5"/>
  <c r="AJ11" i="5"/>
  <c r="AK11" i="5"/>
  <c r="AL11" i="5"/>
  <c r="AO11" i="5"/>
  <c r="AP11" i="5"/>
  <c r="AS11" i="5"/>
  <c r="AT11" i="5"/>
  <c r="AU11" i="5"/>
  <c r="AV11" i="5"/>
  <c r="AW11" i="5"/>
  <c r="AX11" i="5"/>
  <c r="D12" i="5"/>
  <c r="E12" i="5"/>
  <c r="F12" i="5"/>
  <c r="I12" i="5"/>
  <c r="J12" i="5"/>
  <c r="M12" i="5"/>
  <c r="N12" i="5"/>
  <c r="O12" i="5"/>
  <c r="P12" i="5"/>
  <c r="Q12" i="5"/>
  <c r="R12" i="5"/>
  <c r="T12" i="5"/>
  <c r="U12" i="5"/>
  <c r="V12" i="5"/>
  <c r="Y12" i="5"/>
  <c r="Z12" i="5"/>
  <c r="AC12" i="5"/>
  <c r="AD12" i="5"/>
  <c r="AE12" i="5"/>
  <c r="AF12" i="5"/>
  <c r="AG12" i="5"/>
  <c r="AH12" i="5"/>
  <c r="AJ12" i="5"/>
  <c r="AK12" i="5"/>
  <c r="AL12" i="5"/>
  <c r="AO12" i="5"/>
  <c r="AP12" i="5"/>
  <c r="AS12" i="5"/>
  <c r="AT12" i="5"/>
  <c r="AU12" i="5"/>
  <c r="AV12" i="5"/>
  <c r="AW12" i="5"/>
  <c r="AX12" i="5"/>
  <c r="D13" i="5"/>
  <c r="E13" i="5"/>
  <c r="F13" i="5"/>
  <c r="I13" i="5"/>
  <c r="J13" i="5"/>
  <c r="M13" i="5"/>
  <c r="N13" i="5"/>
  <c r="O13" i="5"/>
  <c r="P13" i="5"/>
  <c r="Q13" i="5"/>
  <c r="R13" i="5"/>
  <c r="T13" i="5"/>
  <c r="U13" i="5"/>
  <c r="V13" i="5"/>
  <c r="Y13" i="5"/>
  <c r="Z13" i="5"/>
  <c r="AC13" i="5"/>
  <c r="AD13" i="5"/>
  <c r="AE13" i="5"/>
  <c r="AF13" i="5"/>
  <c r="AG13" i="5"/>
  <c r="AH13" i="5"/>
  <c r="AJ13" i="5"/>
  <c r="AK13" i="5"/>
  <c r="AL13" i="5"/>
  <c r="AO13" i="5"/>
  <c r="AP13" i="5"/>
  <c r="AS13" i="5"/>
  <c r="AT13" i="5"/>
  <c r="AU13" i="5"/>
  <c r="AV13" i="5"/>
  <c r="AW13" i="5"/>
  <c r="AX13" i="5"/>
  <c r="D14" i="5"/>
  <c r="E14" i="5"/>
  <c r="F14" i="5"/>
  <c r="I14" i="5"/>
  <c r="J14" i="5"/>
  <c r="M14" i="5"/>
  <c r="N14" i="5"/>
  <c r="O14" i="5"/>
  <c r="P14" i="5"/>
  <c r="Q14" i="5"/>
  <c r="R14" i="5"/>
  <c r="T14" i="5"/>
  <c r="U14" i="5"/>
  <c r="V14" i="5"/>
  <c r="Y14" i="5"/>
  <c r="Z14" i="5"/>
  <c r="AC14" i="5"/>
  <c r="AD14" i="5"/>
  <c r="AE14" i="5"/>
  <c r="AF14" i="5"/>
  <c r="AG14" i="5"/>
  <c r="AH14" i="5"/>
  <c r="AJ14" i="5"/>
  <c r="AK14" i="5"/>
  <c r="AL14" i="5"/>
  <c r="AO14" i="5"/>
  <c r="AP14" i="5"/>
  <c r="AS14" i="5"/>
  <c r="AT14" i="5"/>
  <c r="AU14" i="5"/>
  <c r="AV14" i="5"/>
  <c r="AW14" i="5"/>
  <c r="AX14" i="5"/>
  <c r="D15" i="5"/>
  <c r="E15" i="5"/>
  <c r="F15" i="5"/>
  <c r="I15" i="5"/>
  <c r="J15" i="5"/>
  <c r="M15" i="5"/>
  <c r="N15" i="5"/>
  <c r="O15" i="5"/>
  <c r="P15" i="5"/>
  <c r="Q15" i="5"/>
  <c r="R15" i="5"/>
  <c r="T15" i="5"/>
  <c r="U15" i="5"/>
  <c r="V15" i="5"/>
  <c r="Y15" i="5"/>
  <c r="Z15" i="5"/>
  <c r="AC15" i="5"/>
  <c r="AD15" i="5"/>
  <c r="AE15" i="5"/>
  <c r="AF15" i="5"/>
  <c r="AG15" i="5"/>
  <c r="AH15" i="5"/>
  <c r="AJ15" i="5"/>
  <c r="AK15" i="5"/>
  <c r="AL15" i="5"/>
  <c r="AO15" i="5"/>
  <c r="AP15" i="5"/>
  <c r="AS15" i="5"/>
  <c r="AT15" i="5"/>
  <c r="AU15" i="5"/>
  <c r="AV15" i="5"/>
  <c r="AW15" i="5"/>
  <c r="AX15" i="5"/>
  <c r="D16" i="5"/>
  <c r="E16" i="5"/>
  <c r="F16" i="5"/>
  <c r="I16" i="5"/>
  <c r="J16" i="5"/>
  <c r="M16" i="5"/>
  <c r="N16" i="5"/>
  <c r="O16" i="5"/>
  <c r="P16" i="5"/>
  <c r="Q16" i="5"/>
  <c r="R16" i="5"/>
  <c r="T16" i="5"/>
  <c r="U16" i="5"/>
  <c r="V16" i="5"/>
  <c r="Y16" i="5"/>
  <c r="Z16" i="5"/>
  <c r="AC16" i="5"/>
  <c r="AD16" i="5"/>
  <c r="AE16" i="5"/>
  <c r="AF16" i="5"/>
  <c r="AG16" i="5"/>
  <c r="AH16" i="5"/>
  <c r="AJ16" i="5"/>
  <c r="AK16" i="5"/>
  <c r="AL16" i="5"/>
  <c r="AO16" i="5"/>
  <c r="AP16" i="5"/>
  <c r="AS16" i="5"/>
  <c r="AT16" i="5"/>
  <c r="AU16" i="5"/>
  <c r="AV16" i="5"/>
  <c r="AW16" i="5"/>
  <c r="AX16" i="5"/>
  <c r="D17" i="5"/>
  <c r="E17" i="5"/>
  <c r="F17" i="5"/>
  <c r="I17" i="5"/>
  <c r="J17" i="5"/>
  <c r="M17" i="5"/>
  <c r="N17" i="5"/>
  <c r="O17" i="5"/>
  <c r="P17" i="5"/>
  <c r="Q17" i="5"/>
  <c r="R17" i="5"/>
  <c r="T17" i="5"/>
  <c r="U17" i="5"/>
  <c r="V17" i="5"/>
  <c r="Y17" i="5"/>
  <c r="Z17" i="5"/>
  <c r="AC17" i="5"/>
  <c r="AD17" i="5"/>
  <c r="AE17" i="5"/>
  <c r="AF17" i="5"/>
  <c r="AG17" i="5"/>
  <c r="AH17" i="5"/>
  <c r="AJ17" i="5"/>
  <c r="AK17" i="5"/>
  <c r="AL17" i="5"/>
  <c r="AO17" i="5"/>
  <c r="AP17" i="5"/>
  <c r="AS17" i="5"/>
  <c r="AT17" i="5"/>
  <c r="AU17" i="5"/>
  <c r="AV17" i="5"/>
  <c r="AW17" i="5"/>
  <c r="AX17" i="5"/>
  <c r="D18" i="5"/>
  <c r="E18" i="5"/>
  <c r="F18" i="5"/>
  <c r="I18" i="5"/>
  <c r="J18" i="5"/>
  <c r="M18" i="5"/>
  <c r="N18" i="5"/>
  <c r="O18" i="5"/>
  <c r="P18" i="5"/>
  <c r="Q18" i="5"/>
  <c r="R18" i="5"/>
  <c r="T18" i="5"/>
  <c r="U18" i="5"/>
  <c r="V18" i="5"/>
  <c r="Y18" i="5"/>
  <c r="Z18" i="5"/>
  <c r="AC18" i="5"/>
  <c r="AD18" i="5"/>
  <c r="AE18" i="5"/>
  <c r="AF18" i="5"/>
  <c r="AG18" i="5"/>
  <c r="AH18" i="5"/>
  <c r="AJ18" i="5"/>
  <c r="AK18" i="5"/>
  <c r="AL18" i="5"/>
  <c r="AO18" i="5"/>
  <c r="AP18" i="5"/>
  <c r="AS18" i="5"/>
  <c r="AT18" i="5"/>
  <c r="AU18" i="5"/>
  <c r="AV18" i="5"/>
  <c r="AW18" i="5"/>
  <c r="AX18" i="5"/>
  <c r="D19" i="5"/>
  <c r="E19" i="5"/>
  <c r="F19" i="5"/>
  <c r="I19" i="5"/>
  <c r="J19" i="5"/>
  <c r="M19" i="5"/>
  <c r="N19" i="5"/>
  <c r="O19" i="5"/>
  <c r="P19" i="5"/>
  <c r="Q19" i="5"/>
  <c r="R19" i="5"/>
  <c r="T19" i="5"/>
  <c r="U19" i="5"/>
  <c r="V19" i="5"/>
  <c r="Y19" i="5"/>
  <c r="Z19" i="5"/>
  <c r="AC19" i="5"/>
  <c r="AD19" i="5"/>
  <c r="AE19" i="5"/>
  <c r="AF19" i="5"/>
  <c r="AG19" i="5"/>
  <c r="AH19" i="5"/>
  <c r="AJ19" i="5"/>
  <c r="AK19" i="5"/>
  <c r="AL19" i="5"/>
  <c r="AO19" i="5"/>
  <c r="AP19" i="5"/>
  <c r="AS19" i="5"/>
  <c r="AT19" i="5"/>
  <c r="AU19" i="5"/>
  <c r="AV19" i="5"/>
  <c r="AW19" i="5"/>
  <c r="AX19" i="5"/>
  <c r="D20" i="5"/>
  <c r="E20" i="5"/>
  <c r="F20" i="5"/>
  <c r="I20" i="5"/>
  <c r="J20" i="5"/>
  <c r="M20" i="5"/>
  <c r="N20" i="5"/>
  <c r="O20" i="5"/>
  <c r="P20" i="5"/>
  <c r="Q20" i="5"/>
  <c r="R20" i="5"/>
  <c r="T20" i="5"/>
  <c r="U20" i="5"/>
  <c r="V20" i="5"/>
  <c r="Y20" i="5"/>
  <c r="Z20" i="5"/>
  <c r="AC20" i="5"/>
  <c r="AD20" i="5"/>
  <c r="AE20" i="5"/>
  <c r="AF20" i="5"/>
  <c r="AG20" i="5"/>
  <c r="AH20" i="5"/>
  <c r="AJ20" i="5"/>
  <c r="AK20" i="5"/>
  <c r="AL20" i="5"/>
  <c r="AO20" i="5"/>
  <c r="AP20" i="5"/>
  <c r="AS20" i="5"/>
  <c r="AT20" i="5"/>
  <c r="AU20" i="5"/>
  <c r="AV20" i="5"/>
  <c r="AW20" i="5"/>
  <c r="AX20" i="5"/>
  <c r="D21" i="5"/>
  <c r="E21" i="5"/>
  <c r="F21" i="5"/>
  <c r="I21" i="5"/>
  <c r="J21" i="5"/>
  <c r="M21" i="5"/>
  <c r="N21" i="5"/>
  <c r="O21" i="5"/>
  <c r="P21" i="5"/>
  <c r="Q21" i="5"/>
  <c r="R21" i="5"/>
  <c r="T21" i="5"/>
  <c r="U21" i="5"/>
  <c r="V21" i="5"/>
  <c r="Y21" i="5"/>
  <c r="Z21" i="5"/>
  <c r="AC21" i="5"/>
  <c r="AD21" i="5"/>
  <c r="AE21" i="5"/>
  <c r="AF21" i="5"/>
  <c r="AG21" i="5"/>
  <c r="AH21" i="5"/>
  <c r="AJ21" i="5"/>
  <c r="AK21" i="5"/>
  <c r="AL21" i="5"/>
  <c r="AO21" i="5"/>
  <c r="AP21" i="5"/>
  <c r="AS21" i="5"/>
  <c r="AT21" i="5"/>
  <c r="AU21" i="5"/>
  <c r="AV21" i="5"/>
  <c r="AW21" i="5"/>
  <c r="AX21" i="5"/>
  <c r="D22" i="5"/>
  <c r="E22" i="5"/>
  <c r="F22" i="5"/>
  <c r="I22" i="5"/>
  <c r="J22" i="5"/>
  <c r="M22" i="5"/>
  <c r="N22" i="5"/>
  <c r="O22" i="5"/>
  <c r="P22" i="5"/>
  <c r="Q22" i="5"/>
  <c r="R22" i="5"/>
  <c r="T22" i="5"/>
  <c r="U22" i="5"/>
  <c r="V22" i="5"/>
  <c r="Y22" i="5"/>
  <c r="Z22" i="5"/>
  <c r="AC22" i="5"/>
  <c r="AD22" i="5"/>
  <c r="AE22" i="5"/>
  <c r="AF22" i="5"/>
  <c r="AG22" i="5"/>
  <c r="AH22" i="5"/>
  <c r="AJ22" i="5"/>
  <c r="AK22" i="5"/>
  <c r="AL22" i="5"/>
  <c r="AO22" i="5"/>
  <c r="AP22" i="5"/>
  <c r="AS22" i="5"/>
  <c r="AT22" i="5"/>
  <c r="AU22" i="5"/>
  <c r="AV22" i="5"/>
  <c r="AW22" i="5"/>
  <c r="AX22" i="5"/>
  <c r="D23" i="5"/>
  <c r="E23" i="5"/>
  <c r="F23" i="5"/>
  <c r="I23" i="5"/>
  <c r="J23" i="5"/>
  <c r="M23" i="5"/>
  <c r="N23" i="5"/>
  <c r="O23" i="5"/>
  <c r="P23" i="5"/>
  <c r="Q23" i="5"/>
  <c r="R23" i="5"/>
  <c r="T23" i="5"/>
  <c r="U23" i="5"/>
  <c r="V23" i="5"/>
  <c r="Y23" i="5"/>
  <c r="Z23" i="5"/>
  <c r="AC23" i="5"/>
  <c r="AD23" i="5"/>
  <c r="AE23" i="5"/>
  <c r="AF23" i="5"/>
  <c r="AG23" i="5"/>
  <c r="AH23" i="5"/>
  <c r="AJ23" i="5"/>
  <c r="AK23" i="5"/>
  <c r="AL23" i="5"/>
  <c r="AO23" i="5"/>
  <c r="AP23" i="5"/>
  <c r="AS23" i="5"/>
  <c r="AT23" i="5"/>
  <c r="AU23" i="5"/>
  <c r="AV23" i="5"/>
  <c r="AW23" i="5"/>
  <c r="AX23" i="5"/>
  <c r="D24" i="5"/>
  <c r="E24" i="5"/>
  <c r="F24" i="5"/>
  <c r="I24" i="5"/>
  <c r="J24" i="5"/>
  <c r="M24" i="5"/>
  <c r="N24" i="5"/>
  <c r="O24" i="5"/>
  <c r="P24" i="5"/>
  <c r="Q24" i="5"/>
  <c r="R24" i="5"/>
  <c r="T24" i="5"/>
  <c r="U24" i="5"/>
  <c r="V24" i="5"/>
  <c r="Y24" i="5"/>
  <c r="Z24" i="5"/>
  <c r="AC24" i="5"/>
  <c r="AD24" i="5"/>
  <c r="AE24" i="5"/>
  <c r="AF24" i="5"/>
  <c r="AG24" i="5"/>
  <c r="AH24" i="5"/>
  <c r="AJ24" i="5"/>
  <c r="AK24" i="5"/>
  <c r="AL24" i="5"/>
  <c r="AO24" i="5"/>
  <c r="AP24" i="5"/>
  <c r="AS24" i="5"/>
  <c r="AT24" i="5"/>
  <c r="AU24" i="5"/>
  <c r="AV24" i="5"/>
  <c r="AW24" i="5"/>
  <c r="AX24" i="5"/>
  <c r="D25" i="5"/>
  <c r="E25" i="5"/>
  <c r="F25" i="5"/>
  <c r="I25" i="5"/>
  <c r="J25" i="5"/>
  <c r="M25" i="5"/>
  <c r="N25" i="5"/>
  <c r="O25" i="5"/>
  <c r="P25" i="5"/>
  <c r="Q25" i="5"/>
  <c r="R25" i="5"/>
  <c r="T25" i="5"/>
  <c r="U25" i="5"/>
  <c r="V25" i="5"/>
  <c r="Y25" i="5"/>
  <c r="Z25" i="5"/>
  <c r="AC25" i="5"/>
  <c r="AD25" i="5"/>
  <c r="AE25" i="5"/>
  <c r="AF25" i="5"/>
  <c r="AG25" i="5"/>
  <c r="AH25" i="5"/>
  <c r="AJ25" i="5"/>
  <c r="AK25" i="5"/>
  <c r="AL25" i="5"/>
  <c r="AO25" i="5"/>
  <c r="AP25" i="5"/>
  <c r="AS25" i="5"/>
  <c r="AT25" i="5"/>
  <c r="AU25" i="5"/>
  <c r="AV25" i="5"/>
  <c r="AW25" i="5"/>
  <c r="AX25" i="5"/>
  <c r="D26" i="5"/>
  <c r="E26" i="5"/>
  <c r="F26" i="5"/>
  <c r="I26" i="5"/>
  <c r="J26" i="5"/>
  <c r="M26" i="5"/>
  <c r="N26" i="5"/>
  <c r="O26" i="5"/>
  <c r="P26" i="5"/>
  <c r="Q26" i="5"/>
  <c r="R26" i="5"/>
  <c r="T26" i="5"/>
  <c r="U26" i="5"/>
  <c r="V26" i="5"/>
  <c r="Y26" i="5"/>
  <c r="Z26" i="5"/>
  <c r="AC26" i="5"/>
  <c r="AD26" i="5"/>
  <c r="AE26" i="5"/>
  <c r="AF26" i="5"/>
  <c r="AG26" i="5"/>
  <c r="AH26" i="5"/>
  <c r="AJ26" i="5"/>
  <c r="AK26" i="5"/>
  <c r="AL26" i="5"/>
  <c r="AO26" i="5"/>
  <c r="AP26" i="5"/>
  <c r="AS26" i="5"/>
  <c r="AT26" i="5"/>
  <c r="AU26" i="5"/>
  <c r="AV26" i="5"/>
  <c r="AW26" i="5"/>
  <c r="AX26" i="5"/>
  <c r="D27" i="5"/>
  <c r="E27" i="5"/>
  <c r="F27" i="5"/>
  <c r="I27" i="5"/>
  <c r="J27" i="5"/>
  <c r="M27" i="5"/>
  <c r="N27" i="5"/>
  <c r="O27" i="5"/>
  <c r="P27" i="5"/>
  <c r="Q27" i="5"/>
  <c r="R27" i="5"/>
  <c r="T27" i="5"/>
  <c r="U27" i="5"/>
  <c r="V27" i="5"/>
  <c r="Y27" i="5"/>
  <c r="Z27" i="5"/>
  <c r="AC27" i="5"/>
  <c r="AD27" i="5"/>
  <c r="AE27" i="5"/>
  <c r="AF27" i="5"/>
  <c r="AG27" i="5"/>
  <c r="AH27" i="5"/>
  <c r="AJ27" i="5"/>
  <c r="AK27" i="5"/>
  <c r="AL27" i="5"/>
  <c r="AO27" i="5"/>
  <c r="AP27" i="5"/>
  <c r="AS27" i="5"/>
  <c r="AT27" i="5"/>
  <c r="AU27" i="5"/>
  <c r="AV27" i="5"/>
  <c r="AW27" i="5"/>
  <c r="AX27" i="5"/>
  <c r="D28" i="5"/>
  <c r="E28" i="5"/>
  <c r="F28" i="5"/>
  <c r="I28" i="5"/>
  <c r="J28" i="5"/>
  <c r="M28" i="5"/>
  <c r="N28" i="5"/>
  <c r="O28" i="5"/>
  <c r="P28" i="5"/>
  <c r="Q28" i="5"/>
  <c r="R28" i="5"/>
  <c r="T28" i="5"/>
  <c r="U28" i="5"/>
  <c r="V28" i="5"/>
  <c r="Y28" i="5"/>
  <c r="Z28" i="5"/>
  <c r="AC28" i="5"/>
  <c r="AD28" i="5"/>
  <c r="AE28" i="5"/>
  <c r="AF28" i="5"/>
  <c r="AG28" i="5"/>
  <c r="AH28" i="5"/>
  <c r="AJ28" i="5"/>
  <c r="AK28" i="5"/>
  <c r="AL28" i="5"/>
  <c r="AO28" i="5"/>
  <c r="AP28" i="5"/>
  <c r="AS28" i="5"/>
  <c r="AT28" i="5"/>
  <c r="AU28" i="5"/>
  <c r="AV28" i="5"/>
  <c r="AW28" i="5"/>
  <c r="AX28" i="5"/>
  <c r="D29" i="5"/>
  <c r="E29" i="5"/>
  <c r="F29" i="5"/>
  <c r="I29" i="5"/>
  <c r="J29" i="5"/>
  <c r="M29" i="5"/>
  <c r="N29" i="5"/>
  <c r="O29" i="5"/>
  <c r="P29" i="5"/>
  <c r="Q29" i="5"/>
  <c r="R29" i="5"/>
  <c r="T29" i="5"/>
  <c r="U29" i="5"/>
  <c r="V29" i="5"/>
  <c r="Y29" i="5"/>
  <c r="Z29" i="5"/>
  <c r="AC29" i="5"/>
  <c r="AD29" i="5"/>
  <c r="AE29" i="5"/>
  <c r="AF29" i="5"/>
  <c r="AG29" i="5"/>
  <c r="AH29" i="5"/>
  <c r="AJ29" i="5"/>
  <c r="AK29" i="5"/>
  <c r="AL29" i="5"/>
  <c r="AO29" i="5"/>
  <c r="AP29" i="5"/>
  <c r="AS29" i="5"/>
  <c r="AT29" i="5"/>
  <c r="AU29" i="5"/>
  <c r="AV29" i="5"/>
  <c r="AW29" i="5"/>
  <c r="AX29" i="5"/>
  <c r="D30" i="5"/>
  <c r="E30" i="5"/>
  <c r="F30" i="5"/>
  <c r="I30" i="5"/>
  <c r="J30" i="5"/>
  <c r="M30" i="5"/>
  <c r="N30" i="5"/>
  <c r="O30" i="5"/>
  <c r="P30" i="5"/>
  <c r="Q30" i="5"/>
  <c r="R30" i="5"/>
  <c r="T30" i="5"/>
  <c r="U30" i="5"/>
  <c r="V30" i="5"/>
  <c r="Y30" i="5"/>
  <c r="Z30" i="5"/>
  <c r="AC30" i="5"/>
  <c r="AD30" i="5"/>
  <c r="AE30" i="5"/>
  <c r="AF30" i="5"/>
  <c r="AG30" i="5"/>
  <c r="AH30" i="5"/>
  <c r="AJ30" i="5"/>
  <c r="AK30" i="5"/>
  <c r="AL30" i="5"/>
  <c r="AO30" i="5"/>
  <c r="AP30" i="5"/>
  <c r="AS30" i="5"/>
  <c r="AT30" i="5"/>
  <c r="AU30" i="5"/>
  <c r="AV30" i="5"/>
  <c r="AW30" i="5"/>
  <c r="AX30" i="5"/>
  <c r="D31" i="5"/>
  <c r="E31" i="5"/>
  <c r="F31" i="5"/>
  <c r="I31" i="5"/>
  <c r="J31" i="5"/>
  <c r="M31" i="5"/>
  <c r="N31" i="5"/>
  <c r="O31" i="5"/>
  <c r="P31" i="5"/>
  <c r="Q31" i="5"/>
  <c r="R31" i="5"/>
  <c r="T31" i="5"/>
  <c r="U31" i="5"/>
  <c r="V31" i="5"/>
  <c r="Y31" i="5"/>
  <c r="Z31" i="5"/>
  <c r="AC31" i="5"/>
  <c r="AD31" i="5"/>
  <c r="AE31" i="5"/>
  <c r="AF31" i="5"/>
  <c r="AG31" i="5"/>
  <c r="AH31" i="5"/>
  <c r="AJ31" i="5"/>
  <c r="AK31" i="5"/>
  <c r="AL31" i="5"/>
  <c r="AO31" i="5"/>
  <c r="AP31" i="5"/>
  <c r="AS31" i="5"/>
  <c r="AT31" i="5"/>
  <c r="AU31" i="5"/>
  <c r="AV31" i="5"/>
  <c r="AW31" i="5"/>
  <c r="AX31" i="5"/>
  <c r="D32" i="5"/>
  <c r="E32" i="5"/>
  <c r="F32" i="5"/>
  <c r="I32" i="5"/>
  <c r="J32" i="5"/>
  <c r="M32" i="5"/>
  <c r="N32" i="5"/>
  <c r="O32" i="5"/>
  <c r="P32" i="5"/>
  <c r="Q32" i="5"/>
  <c r="R32" i="5"/>
  <c r="T32" i="5"/>
  <c r="U32" i="5"/>
  <c r="V32" i="5"/>
  <c r="Y32" i="5"/>
  <c r="Z32" i="5"/>
  <c r="AC32" i="5"/>
  <c r="AD32" i="5"/>
  <c r="AE32" i="5"/>
  <c r="AF32" i="5"/>
  <c r="AG32" i="5"/>
  <c r="AH32" i="5"/>
  <c r="AJ32" i="5"/>
  <c r="AK32" i="5"/>
  <c r="AL32" i="5"/>
  <c r="AO32" i="5"/>
  <c r="AP32" i="5"/>
  <c r="AS32" i="5"/>
  <c r="AT32" i="5"/>
  <c r="AU32" i="5"/>
  <c r="AV32" i="5"/>
  <c r="AW32" i="5"/>
  <c r="AX32" i="5"/>
  <c r="D33" i="5"/>
  <c r="E33" i="5"/>
  <c r="F33" i="5"/>
  <c r="I33" i="5"/>
  <c r="J33" i="5"/>
  <c r="M33" i="5"/>
  <c r="N33" i="5"/>
  <c r="O33" i="5"/>
  <c r="P33" i="5"/>
  <c r="Q33" i="5"/>
  <c r="R33" i="5"/>
  <c r="T33" i="5"/>
  <c r="U33" i="5"/>
  <c r="V33" i="5"/>
  <c r="Y33" i="5"/>
  <c r="Z33" i="5"/>
  <c r="AC33" i="5"/>
  <c r="AD33" i="5"/>
  <c r="AE33" i="5"/>
  <c r="AF33" i="5"/>
  <c r="AG33" i="5"/>
  <c r="AH33" i="5"/>
  <c r="AJ33" i="5"/>
  <c r="AK33" i="5"/>
  <c r="AL33" i="5"/>
  <c r="AO33" i="5"/>
  <c r="AP33" i="5"/>
  <c r="AS33" i="5"/>
  <c r="AT33" i="5"/>
  <c r="AU33" i="5"/>
  <c r="AV33" i="5"/>
  <c r="AW33" i="5"/>
  <c r="AX33" i="5"/>
  <c r="D34" i="5"/>
  <c r="E34" i="5"/>
  <c r="F34" i="5"/>
  <c r="I34" i="5"/>
  <c r="J34" i="5"/>
  <c r="M34" i="5"/>
  <c r="N34" i="5"/>
  <c r="O34" i="5"/>
  <c r="P34" i="5"/>
  <c r="Q34" i="5"/>
  <c r="R34" i="5"/>
  <c r="T34" i="5"/>
  <c r="U34" i="5"/>
  <c r="V34" i="5"/>
  <c r="Y34" i="5"/>
  <c r="Z34" i="5"/>
  <c r="AC34" i="5"/>
  <c r="AD34" i="5"/>
  <c r="AE34" i="5"/>
  <c r="AF34" i="5"/>
  <c r="AG34" i="5"/>
  <c r="AH34" i="5"/>
  <c r="AJ34" i="5"/>
  <c r="AK34" i="5"/>
  <c r="AL34" i="5"/>
  <c r="AO34" i="5"/>
  <c r="AP34" i="5"/>
  <c r="AS34" i="5"/>
  <c r="AT34" i="5"/>
  <c r="AU34" i="5"/>
  <c r="AV34" i="5"/>
  <c r="AW34" i="5"/>
  <c r="AX34" i="5"/>
  <c r="D35" i="5"/>
  <c r="E35" i="5"/>
  <c r="F35" i="5"/>
  <c r="I35" i="5"/>
  <c r="J35" i="5"/>
  <c r="M35" i="5"/>
  <c r="N35" i="5"/>
  <c r="O35" i="5"/>
  <c r="P35" i="5"/>
  <c r="Q35" i="5"/>
  <c r="R35" i="5"/>
  <c r="T35" i="5"/>
  <c r="U35" i="5"/>
  <c r="V35" i="5"/>
  <c r="Y35" i="5"/>
  <c r="Z35" i="5"/>
  <c r="AC35" i="5"/>
  <c r="AD35" i="5"/>
  <c r="AE35" i="5"/>
  <c r="AF35" i="5"/>
  <c r="AG35" i="5"/>
  <c r="AH35" i="5"/>
  <c r="AJ35" i="5"/>
  <c r="AK35" i="5"/>
  <c r="AL35" i="5"/>
  <c r="AO35" i="5"/>
  <c r="AP35" i="5"/>
  <c r="AS35" i="5"/>
  <c r="AT35" i="5"/>
  <c r="AU35" i="5"/>
  <c r="AV35" i="5"/>
  <c r="AW35" i="5"/>
  <c r="AX35" i="5"/>
  <c r="D36" i="5"/>
  <c r="E36" i="5"/>
  <c r="F36" i="5"/>
  <c r="I36" i="5"/>
  <c r="J36" i="5"/>
  <c r="M36" i="5"/>
  <c r="N36" i="5"/>
  <c r="O36" i="5"/>
  <c r="P36" i="5"/>
  <c r="Q36" i="5"/>
  <c r="R36" i="5"/>
  <c r="T36" i="5"/>
  <c r="U36" i="5"/>
  <c r="V36" i="5"/>
  <c r="Y36" i="5"/>
  <c r="Z36" i="5"/>
  <c r="AC36" i="5"/>
  <c r="AD36" i="5"/>
  <c r="AE36" i="5"/>
  <c r="AF36" i="5"/>
  <c r="AG36" i="5"/>
  <c r="AH36" i="5"/>
  <c r="AJ36" i="5"/>
  <c r="AK36" i="5"/>
  <c r="AL36" i="5"/>
  <c r="AO36" i="5"/>
  <c r="AP36" i="5"/>
  <c r="AS36" i="5"/>
  <c r="AT36" i="5"/>
  <c r="AU36" i="5"/>
  <c r="AV36" i="5"/>
  <c r="AW36" i="5"/>
  <c r="AX36" i="5"/>
  <c r="D37" i="5"/>
  <c r="E37" i="5"/>
  <c r="F37" i="5"/>
  <c r="I37" i="5"/>
  <c r="J37" i="5"/>
  <c r="M37" i="5"/>
  <c r="N37" i="5"/>
  <c r="O37" i="5"/>
  <c r="P37" i="5"/>
  <c r="Q37" i="5"/>
  <c r="R37" i="5"/>
  <c r="T37" i="5"/>
  <c r="U37" i="5"/>
  <c r="V37" i="5"/>
  <c r="Y37" i="5"/>
  <c r="Z37" i="5"/>
  <c r="AC37" i="5"/>
  <c r="AD37" i="5"/>
  <c r="AE37" i="5"/>
  <c r="AF37" i="5"/>
  <c r="AG37" i="5"/>
  <c r="AH37" i="5"/>
  <c r="AJ37" i="5"/>
  <c r="AK37" i="5"/>
  <c r="AL37" i="5"/>
  <c r="AO37" i="5"/>
  <c r="AP37" i="5"/>
  <c r="AS37" i="5"/>
  <c r="AT37" i="5"/>
  <c r="AU37" i="5"/>
  <c r="AV37" i="5"/>
  <c r="AW37" i="5"/>
  <c r="AX37" i="5"/>
  <c r="D38" i="5"/>
  <c r="E38" i="5"/>
  <c r="F38" i="5"/>
  <c r="I38" i="5"/>
  <c r="J38" i="5"/>
  <c r="M38" i="5"/>
  <c r="N38" i="5"/>
  <c r="O38" i="5"/>
  <c r="P38" i="5"/>
  <c r="Q38" i="5"/>
  <c r="R38" i="5"/>
  <c r="T38" i="5"/>
  <c r="U38" i="5"/>
  <c r="V38" i="5"/>
  <c r="Y38" i="5"/>
  <c r="Z38" i="5"/>
  <c r="AC38" i="5"/>
  <c r="AD38" i="5"/>
  <c r="AE38" i="5"/>
  <c r="AF38" i="5"/>
  <c r="AG38" i="5"/>
  <c r="AH38" i="5"/>
  <c r="AJ38" i="5"/>
  <c r="AK38" i="5"/>
  <c r="AL38" i="5"/>
  <c r="AO38" i="5"/>
  <c r="AP38" i="5"/>
  <c r="AS38" i="5"/>
  <c r="AT38" i="5"/>
  <c r="AU38" i="5"/>
  <c r="AV38" i="5"/>
  <c r="AW38" i="5"/>
  <c r="AX38" i="5"/>
  <c r="D39" i="5"/>
  <c r="E39" i="5"/>
  <c r="F39" i="5"/>
  <c r="I39" i="5"/>
  <c r="J39" i="5"/>
  <c r="M39" i="5"/>
  <c r="N39" i="5"/>
  <c r="O39" i="5"/>
  <c r="P39" i="5"/>
  <c r="Q39" i="5"/>
  <c r="R39" i="5"/>
  <c r="T39" i="5"/>
  <c r="U39" i="5"/>
  <c r="V39" i="5"/>
  <c r="Y39" i="5"/>
  <c r="Z39" i="5"/>
  <c r="AC39" i="5"/>
  <c r="AD39" i="5"/>
  <c r="AE39" i="5"/>
  <c r="AF39" i="5"/>
  <c r="AG39" i="5"/>
  <c r="AH39" i="5"/>
  <c r="AJ39" i="5"/>
  <c r="AK39" i="5"/>
  <c r="AL39" i="5"/>
  <c r="AO39" i="5"/>
  <c r="AP39" i="5"/>
  <c r="AS39" i="5"/>
  <c r="AT39" i="5"/>
  <c r="AU39" i="5"/>
  <c r="AV39" i="5"/>
  <c r="AW39" i="5"/>
  <c r="AX39" i="5"/>
  <c r="D40" i="5"/>
  <c r="E40" i="5"/>
  <c r="F40" i="5"/>
  <c r="I40" i="5"/>
  <c r="J40" i="5"/>
  <c r="M40" i="5"/>
  <c r="N40" i="5"/>
  <c r="O40" i="5"/>
  <c r="P40" i="5"/>
  <c r="Q40" i="5"/>
  <c r="R40" i="5"/>
  <c r="T40" i="5"/>
  <c r="U40" i="5"/>
  <c r="V40" i="5"/>
  <c r="Y40" i="5"/>
  <c r="Z40" i="5"/>
  <c r="AC40" i="5"/>
  <c r="AD40" i="5"/>
  <c r="AE40" i="5"/>
  <c r="AF40" i="5"/>
  <c r="AG40" i="5"/>
  <c r="AH40" i="5"/>
  <c r="AJ40" i="5"/>
  <c r="AK40" i="5"/>
  <c r="AL40" i="5"/>
  <c r="AO40" i="5"/>
  <c r="AP40" i="5"/>
  <c r="AS40" i="5"/>
  <c r="AT40" i="5"/>
  <c r="AU40" i="5"/>
  <c r="AV40" i="5"/>
  <c r="AW40" i="5"/>
  <c r="AX40" i="5"/>
  <c r="D41" i="5"/>
  <c r="E41" i="5"/>
  <c r="F41" i="5"/>
  <c r="I41" i="5"/>
  <c r="J41" i="5"/>
  <c r="M41" i="5"/>
  <c r="N41" i="5"/>
  <c r="O41" i="5"/>
  <c r="P41" i="5"/>
  <c r="Q41" i="5"/>
  <c r="R41" i="5"/>
  <c r="T41" i="5"/>
  <c r="U41" i="5"/>
  <c r="V41" i="5"/>
  <c r="Y41" i="5"/>
  <c r="Z41" i="5"/>
  <c r="AC41" i="5"/>
  <c r="AD41" i="5"/>
  <c r="AE41" i="5"/>
  <c r="AF41" i="5"/>
  <c r="AG41" i="5"/>
  <c r="AH41" i="5"/>
  <c r="AJ41" i="5"/>
  <c r="AK41" i="5"/>
  <c r="AL41" i="5"/>
  <c r="AO41" i="5"/>
  <c r="AP41" i="5"/>
  <c r="AS41" i="5"/>
  <c r="AT41" i="5"/>
  <c r="AU41" i="5"/>
  <c r="AV41" i="5"/>
  <c r="AW41" i="5"/>
  <c r="AX41" i="5"/>
  <c r="D42" i="5"/>
  <c r="E42" i="5"/>
  <c r="F42" i="5"/>
  <c r="I42" i="5"/>
  <c r="J42" i="5"/>
  <c r="M42" i="5"/>
  <c r="N42" i="5"/>
  <c r="O42" i="5"/>
  <c r="P42" i="5"/>
  <c r="Q42" i="5"/>
  <c r="R42" i="5"/>
  <c r="T42" i="5"/>
  <c r="U42" i="5"/>
  <c r="V42" i="5"/>
  <c r="Y42" i="5"/>
  <c r="Z42" i="5"/>
  <c r="AC42" i="5"/>
  <c r="AD42" i="5"/>
  <c r="AE42" i="5"/>
  <c r="AF42" i="5"/>
  <c r="AG42" i="5"/>
  <c r="AH42" i="5"/>
  <c r="AJ42" i="5"/>
  <c r="AK42" i="5"/>
  <c r="AL42" i="5"/>
  <c r="AO42" i="5"/>
  <c r="AP42" i="5"/>
  <c r="AS42" i="5"/>
  <c r="AT42" i="5"/>
  <c r="AU42" i="5"/>
  <c r="AV42" i="5"/>
  <c r="AW42" i="5"/>
  <c r="AX42" i="5"/>
  <c r="D43" i="5"/>
  <c r="E43" i="5"/>
  <c r="F43" i="5"/>
  <c r="I43" i="5"/>
  <c r="J43" i="5"/>
  <c r="M43" i="5"/>
  <c r="N43" i="5"/>
  <c r="O43" i="5"/>
  <c r="P43" i="5"/>
  <c r="Q43" i="5"/>
  <c r="R43" i="5"/>
  <c r="T43" i="5"/>
  <c r="U43" i="5"/>
  <c r="V43" i="5"/>
  <c r="Y43" i="5"/>
  <c r="Z43" i="5"/>
  <c r="AC43" i="5"/>
  <c r="AD43" i="5"/>
  <c r="AE43" i="5"/>
  <c r="AF43" i="5"/>
  <c r="AG43" i="5"/>
  <c r="AH43" i="5"/>
  <c r="AJ43" i="5"/>
  <c r="AK43" i="5"/>
  <c r="AL43" i="5"/>
  <c r="AO43" i="5"/>
  <c r="AP43" i="5"/>
  <c r="AS43" i="5"/>
  <c r="AT43" i="5"/>
  <c r="AU43" i="5"/>
  <c r="AV43" i="5"/>
  <c r="AW43" i="5"/>
  <c r="AX43" i="5"/>
  <c r="D44" i="5"/>
  <c r="E44" i="5"/>
  <c r="F44" i="5"/>
  <c r="I44" i="5"/>
  <c r="J44" i="5"/>
  <c r="M44" i="5"/>
  <c r="N44" i="5"/>
  <c r="O44" i="5"/>
  <c r="P44" i="5"/>
  <c r="Q44" i="5"/>
  <c r="R44" i="5"/>
  <c r="T44" i="5"/>
  <c r="U44" i="5"/>
  <c r="V44" i="5"/>
  <c r="Y44" i="5"/>
  <c r="Z44" i="5"/>
  <c r="AC44" i="5"/>
  <c r="AD44" i="5"/>
  <c r="AE44" i="5"/>
  <c r="AF44" i="5"/>
  <c r="AG44" i="5"/>
  <c r="AH44" i="5"/>
  <c r="AJ44" i="5"/>
  <c r="AK44" i="5"/>
  <c r="AL44" i="5"/>
  <c r="AO44" i="5"/>
  <c r="AP44" i="5"/>
  <c r="AS44" i="5"/>
  <c r="AT44" i="5"/>
  <c r="AU44" i="5"/>
  <c r="AV44" i="5"/>
  <c r="AW44" i="5"/>
  <c r="AX44" i="5"/>
  <c r="D45" i="5"/>
  <c r="E45" i="5"/>
  <c r="F45" i="5"/>
  <c r="I45" i="5"/>
  <c r="J45" i="5"/>
  <c r="M45" i="5"/>
  <c r="N45" i="5"/>
  <c r="O45" i="5"/>
  <c r="P45" i="5"/>
  <c r="Q45" i="5"/>
  <c r="R45" i="5"/>
  <c r="T45" i="5"/>
  <c r="U45" i="5"/>
  <c r="V45" i="5"/>
  <c r="Y45" i="5"/>
  <c r="Z45" i="5"/>
  <c r="AC45" i="5"/>
  <c r="AD45" i="5"/>
  <c r="AE45" i="5"/>
  <c r="AF45" i="5"/>
  <c r="AG45" i="5"/>
  <c r="AH45" i="5"/>
  <c r="AJ45" i="5"/>
  <c r="AK45" i="5"/>
  <c r="AL45" i="5"/>
  <c r="AO45" i="5"/>
  <c r="AP45" i="5"/>
  <c r="AS45" i="5"/>
  <c r="AT45" i="5"/>
  <c r="AU45" i="5"/>
  <c r="AV45" i="5"/>
  <c r="AW45" i="5"/>
  <c r="AX45" i="5"/>
  <c r="D49" i="5"/>
  <c r="E49" i="5"/>
  <c r="F49" i="5"/>
  <c r="I49" i="5"/>
  <c r="J49" i="5"/>
  <c r="M49" i="5"/>
  <c r="N49" i="5"/>
  <c r="O49" i="5"/>
  <c r="P49" i="5"/>
  <c r="Q49" i="5"/>
  <c r="R49" i="5"/>
  <c r="T49" i="5"/>
  <c r="U49" i="5"/>
  <c r="V49" i="5"/>
  <c r="Y49" i="5"/>
  <c r="Z49" i="5"/>
  <c r="AC49" i="5"/>
  <c r="AD49" i="5"/>
  <c r="AE49" i="5"/>
  <c r="AF49" i="5"/>
  <c r="AG49" i="5"/>
  <c r="AH49" i="5"/>
  <c r="AJ49" i="5"/>
  <c r="AK49" i="5"/>
  <c r="AL49" i="5"/>
  <c r="AO49" i="5"/>
  <c r="AP49" i="5"/>
  <c r="AS49" i="5"/>
  <c r="AT49" i="5"/>
  <c r="AU49" i="5"/>
  <c r="AV49" i="5"/>
  <c r="AW49" i="5"/>
  <c r="AX49" i="5"/>
  <c r="D50" i="5"/>
  <c r="E50" i="5"/>
  <c r="F50" i="5"/>
  <c r="I50" i="5"/>
  <c r="J50" i="5"/>
  <c r="M50" i="5"/>
  <c r="N50" i="5"/>
  <c r="O50" i="5"/>
  <c r="P50" i="5"/>
  <c r="Q50" i="5"/>
  <c r="R50" i="5"/>
  <c r="T50" i="5"/>
  <c r="U50" i="5"/>
  <c r="V50" i="5"/>
  <c r="Y50" i="5"/>
  <c r="Z50" i="5"/>
  <c r="AC50" i="5"/>
  <c r="AD50" i="5"/>
  <c r="AE50" i="5"/>
  <c r="AF50" i="5"/>
  <c r="AG50" i="5"/>
  <c r="AH50" i="5"/>
  <c r="AJ50" i="5"/>
  <c r="AK50" i="5"/>
  <c r="AL50" i="5"/>
  <c r="AO50" i="5"/>
  <c r="AP50" i="5"/>
  <c r="AS50" i="5"/>
  <c r="AT50" i="5"/>
  <c r="AU50" i="5"/>
  <c r="AV50" i="5"/>
  <c r="AW50" i="5"/>
  <c r="AX50" i="5"/>
  <c r="D51" i="5"/>
  <c r="E51" i="5"/>
  <c r="F51" i="5"/>
  <c r="I51" i="5"/>
  <c r="J51" i="5"/>
  <c r="M51" i="5"/>
  <c r="N51" i="5"/>
  <c r="O51" i="5"/>
  <c r="P51" i="5"/>
  <c r="Q51" i="5"/>
  <c r="R51" i="5"/>
  <c r="T51" i="5"/>
  <c r="U51" i="5"/>
  <c r="V51" i="5"/>
  <c r="Y51" i="5"/>
  <c r="Z51" i="5"/>
  <c r="AC51" i="5"/>
  <c r="AD51" i="5"/>
  <c r="AE51" i="5"/>
  <c r="AF51" i="5"/>
  <c r="AG51" i="5"/>
  <c r="AH51" i="5"/>
  <c r="AJ51" i="5"/>
  <c r="AK51" i="5"/>
  <c r="AL51" i="5"/>
  <c r="AO51" i="5"/>
  <c r="AP51" i="5"/>
  <c r="AS51" i="5"/>
  <c r="AT51" i="5"/>
  <c r="AU51" i="5"/>
  <c r="AV51" i="5"/>
  <c r="AW51" i="5"/>
  <c r="AX51" i="5"/>
  <c r="D52" i="5"/>
  <c r="E52" i="5"/>
  <c r="F52" i="5"/>
  <c r="I52" i="5"/>
  <c r="J52" i="5"/>
  <c r="M52" i="5"/>
  <c r="N52" i="5"/>
  <c r="O52" i="5"/>
  <c r="P52" i="5"/>
  <c r="Q52" i="5"/>
  <c r="R52" i="5"/>
  <c r="T52" i="5"/>
  <c r="U52" i="5"/>
  <c r="V52" i="5"/>
  <c r="Y52" i="5"/>
  <c r="Z52" i="5"/>
  <c r="AC52" i="5"/>
  <c r="AD52" i="5"/>
  <c r="AE52" i="5"/>
  <c r="AF52" i="5"/>
  <c r="AG52" i="5"/>
  <c r="AH52" i="5"/>
  <c r="AJ52" i="5"/>
  <c r="AK52" i="5"/>
  <c r="AL52" i="5"/>
  <c r="AO52" i="5"/>
  <c r="AP52" i="5"/>
  <c r="AS52" i="5"/>
  <c r="AT52" i="5"/>
  <c r="AU52" i="5"/>
  <c r="AV52" i="5"/>
  <c r="AW52" i="5"/>
  <c r="AX52" i="5"/>
  <c r="D53" i="5"/>
  <c r="E53" i="5"/>
  <c r="F53" i="5"/>
  <c r="I53" i="5"/>
  <c r="J53" i="5"/>
  <c r="M53" i="5"/>
  <c r="N53" i="5"/>
  <c r="O53" i="5"/>
  <c r="P53" i="5"/>
  <c r="Q53" i="5"/>
  <c r="R53" i="5"/>
  <c r="T53" i="5"/>
  <c r="U53" i="5"/>
  <c r="V53" i="5"/>
  <c r="Y53" i="5"/>
  <c r="Z53" i="5"/>
  <c r="AC53" i="5"/>
  <c r="AD53" i="5"/>
  <c r="AE53" i="5"/>
  <c r="AF53" i="5"/>
  <c r="AG53" i="5"/>
  <c r="AH53" i="5"/>
  <c r="AJ53" i="5"/>
  <c r="AK53" i="5"/>
  <c r="AL53" i="5"/>
  <c r="AO53" i="5"/>
  <c r="AP53" i="5"/>
  <c r="AS53" i="5"/>
  <c r="AT53" i="5"/>
  <c r="AU53" i="5"/>
  <c r="AV53" i="5"/>
  <c r="AW53" i="5"/>
  <c r="AX53" i="5"/>
  <c r="D54" i="5"/>
  <c r="E54" i="5"/>
  <c r="F54" i="5"/>
  <c r="I54" i="5"/>
  <c r="J54" i="5"/>
  <c r="M54" i="5"/>
  <c r="N54" i="5"/>
  <c r="O54" i="5"/>
  <c r="P54" i="5"/>
  <c r="Q54" i="5"/>
  <c r="R54" i="5"/>
  <c r="T54" i="5"/>
  <c r="U54" i="5"/>
  <c r="V54" i="5"/>
  <c r="Y54" i="5"/>
  <c r="Z54" i="5"/>
  <c r="AC54" i="5"/>
  <c r="AD54" i="5"/>
  <c r="AE54" i="5"/>
  <c r="AF54" i="5"/>
  <c r="AG54" i="5"/>
  <c r="AH54" i="5"/>
  <c r="AJ54" i="5"/>
  <c r="AK54" i="5"/>
  <c r="AL54" i="5"/>
  <c r="AO54" i="5"/>
  <c r="AP54" i="5"/>
  <c r="AS54" i="5"/>
  <c r="AT54" i="5"/>
  <c r="AU54" i="5"/>
  <c r="AV54" i="5"/>
  <c r="AW54" i="5"/>
  <c r="AX54" i="5"/>
  <c r="D55" i="5"/>
  <c r="E55" i="5"/>
  <c r="F55" i="5"/>
  <c r="I55" i="5"/>
  <c r="J55" i="5"/>
  <c r="M55" i="5"/>
  <c r="N55" i="5"/>
  <c r="O55" i="5"/>
  <c r="P55" i="5"/>
  <c r="Q55" i="5"/>
  <c r="R55" i="5"/>
  <c r="T55" i="5"/>
  <c r="U55" i="5"/>
  <c r="V55" i="5"/>
  <c r="Y55" i="5"/>
  <c r="Z55" i="5"/>
  <c r="AC55" i="5"/>
  <c r="AD55" i="5"/>
  <c r="AE55" i="5"/>
  <c r="AF55" i="5"/>
  <c r="AG55" i="5"/>
  <c r="AH55" i="5"/>
  <c r="AJ55" i="5"/>
  <c r="AK55" i="5"/>
  <c r="AL55" i="5"/>
  <c r="AO55" i="5"/>
  <c r="AP55" i="5"/>
  <c r="AS55" i="5"/>
  <c r="AT55" i="5"/>
  <c r="AU55" i="5"/>
  <c r="AV55" i="5"/>
  <c r="AW55" i="5"/>
  <c r="AX55" i="5"/>
  <c r="D56" i="5"/>
  <c r="E56" i="5"/>
  <c r="F56" i="5"/>
  <c r="I56" i="5"/>
  <c r="J56" i="5"/>
  <c r="M56" i="5"/>
  <c r="N56" i="5"/>
  <c r="O56" i="5"/>
  <c r="P56" i="5"/>
  <c r="Q56" i="5"/>
  <c r="R56" i="5"/>
  <c r="T56" i="5"/>
  <c r="U56" i="5"/>
  <c r="V56" i="5"/>
  <c r="Y56" i="5"/>
  <c r="Z56" i="5"/>
  <c r="AC56" i="5"/>
  <c r="AD56" i="5"/>
  <c r="AE56" i="5"/>
  <c r="AF56" i="5"/>
  <c r="AG56" i="5"/>
  <c r="AH56" i="5"/>
  <c r="AJ56" i="5"/>
  <c r="AK56" i="5"/>
  <c r="AL56" i="5"/>
  <c r="AO56" i="5"/>
  <c r="AP56" i="5"/>
  <c r="AS56" i="5"/>
  <c r="AT56" i="5"/>
  <c r="AU56" i="5"/>
  <c r="AV56" i="5"/>
  <c r="AW56" i="5"/>
  <c r="AX56" i="5"/>
  <c r="D57" i="5"/>
  <c r="E57" i="5"/>
  <c r="F57" i="5"/>
  <c r="I57" i="5"/>
  <c r="J57" i="5"/>
  <c r="M57" i="5"/>
  <c r="N57" i="5"/>
  <c r="O57" i="5"/>
  <c r="P57" i="5"/>
  <c r="Q57" i="5"/>
  <c r="R57" i="5"/>
  <c r="T57" i="5"/>
  <c r="U57" i="5"/>
  <c r="V57" i="5"/>
  <c r="Y57" i="5"/>
  <c r="Z57" i="5"/>
  <c r="AC57" i="5"/>
  <c r="AD57" i="5"/>
  <c r="AE57" i="5"/>
  <c r="AF57" i="5"/>
  <c r="AG57" i="5"/>
  <c r="AH57" i="5"/>
  <c r="AJ57" i="5"/>
  <c r="AK57" i="5"/>
  <c r="AL57" i="5"/>
  <c r="AO57" i="5"/>
  <c r="AP57" i="5"/>
  <c r="AS57" i="5"/>
  <c r="AT57" i="5"/>
  <c r="AU57" i="5"/>
  <c r="AV57" i="5"/>
  <c r="AW57" i="5"/>
  <c r="AX57" i="5"/>
  <c r="D58" i="5"/>
  <c r="E58" i="5"/>
  <c r="F58" i="5"/>
  <c r="I58" i="5"/>
  <c r="J58" i="5"/>
  <c r="M58" i="5"/>
  <c r="N58" i="5"/>
  <c r="O58" i="5"/>
  <c r="P58" i="5"/>
  <c r="Q58" i="5"/>
  <c r="R58" i="5"/>
  <c r="T58" i="5"/>
  <c r="U58" i="5"/>
  <c r="V58" i="5"/>
  <c r="Y58" i="5"/>
  <c r="Z58" i="5"/>
  <c r="AC58" i="5"/>
  <c r="AD58" i="5"/>
  <c r="AE58" i="5"/>
  <c r="AF58" i="5"/>
  <c r="AG58" i="5"/>
  <c r="AH58" i="5"/>
  <c r="AJ58" i="5"/>
  <c r="AK58" i="5"/>
  <c r="AL58" i="5"/>
  <c r="AO58" i="5"/>
  <c r="AP58" i="5"/>
  <c r="AS58" i="5"/>
  <c r="AT58" i="5"/>
  <c r="AU58" i="5"/>
  <c r="AV58" i="5"/>
  <c r="AW58" i="5"/>
  <c r="AX58" i="5"/>
  <c r="D59" i="5"/>
  <c r="E59" i="5"/>
  <c r="F59" i="5"/>
  <c r="I59" i="5"/>
  <c r="J59" i="5"/>
  <c r="M59" i="5"/>
  <c r="N59" i="5"/>
  <c r="O59" i="5"/>
  <c r="P59" i="5"/>
  <c r="Q59" i="5"/>
  <c r="R59" i="5"/>
  <c r="T59" i="5"/>
  <c r="U59" i="5"/>
  <c r="V59" i="5"/>
  <c r="Y59" i="5"/>
  <c r="Z59" i="5"/>
  <c r="AC59" i="5"/>
  <c r="AD59" i="5"/>
  <c r="AE59" i="5"/>
  <c r="AF59" i="5"/>
  <c r="AG59" i="5"/>
  <c r="AH59" i="5"/>
  <c r="AJ59" i="5"/>
  <c r="AK59" i="5"/>
  <c r="AL59" i="5"/>
  <c r="AO59" i="5"/>
  <c r="AP59" i="5"/>
  <c r="AS59" i="5"/>
  <c r="AT59" i="5"/>
  <c r="AU59" i="5"/>
  <c r="AV59" i="5"/>
  <c r="AW59" i="5"/>
  <c r="AX59" i="5"/>
  <c r="D60" i="5"/>
  <c r="E60" i="5"/>
  <c r="F60" i="5"/>
  <c r="I60" i="5"/>
  <c r="J60" i="5"/>
  <c r="M60" i="5"/>
  <c r="N60" i="5"/>
  <c r="O60" i="5"/>
  <c r="P60" i="5"/>
  <c r="Q60" i="5"/>
  <c r="R60" i="5"/>
  <c r="T60" i="5"/>
  <c r="U60" i="5"/>
  <c r="V60" i="5"/>
  <c r="Y60" i="5"/>
  <c r="Z60" i="5"/>
  <c r="AC60" i="5"/>
  <c r="AD60" i="5"/>
  <c r="AE60" i="5"/>
  <c r="AF60" i="5"/>
  <c r="AG60" i="5"/>
  <c r="AH60" i="5"/>
  <c r="AJ60" i="5"/>
  <c r="AK60" i="5"/>
  <c r="AL60" i="5"/>
  <c r="AO60" i="5"/>
  <c r="AP60" i="5"/>
  <c r="AS60" i="5"/>
  <c r="AT60" i="5"/>
  <c r="AU60" i="5"/>
  <c r="AV60" i="5"/>
  <c r="AW60" i="5"/>
  <c r="AX60" i="5"/>
  <c r="D61" i="5"/>
  <c r="E61" i="5"/>
  <c r="F61" i="5"/>
  <c r="I61" i="5"/>
  <c r="J61" i="5"/>
  <c r="M61" i="5"/>
  <c r="N61" i="5"/>
  <c r="O61" i="5"/>
  <c r="P61" i="5"/>
  <c r="Q61" i="5"/>
  <c r="R61" i="5"/>
  <c r="T61" i="5"/>
  <c r="U61" i="5"/>
  <c r="V61" i="5"/>
  <c r="Y61" i="5"/>
  <c r="Z61" i="5"/>
  <c r="AC61" i="5"/>
  <c r="AD61" i="5"/>
  <c r="AE61" i="5"/>
  <c r="AF61" i="5"/>
  <c r="AG61" i="5"/>
  <c r="AH61" i="5"/>
  <c r="AJ61" i="5"/>
  <c r="AK61" i="5"/>
  <c r="AL61" i="5"/>
  <c r="AO61" i="5"/>
  <c r="AP61" i="5"/>
  <c r="AS61" i="5"/>
  <c r="AT61" i="5"/>
  <c r="AU61" i="5"/>
  <c r="AV61" i="5"/>
  <c r="AW61" i="5"/>
  <c r="AX61" i="5"/>
  <c r="D62" i="5"/>
  <c r="E62" i="5"/>
  <c r="F62" i="5"/>
  <c r="I62" i="5"/>
  <c r="J62" i="5"/>
  <c r="M62" i="5"/>
  <c r="N62" i="5"/>
  <c r="O62" i="5"/>
  <c r="P62" i="5"/>
  <c r="Q62" i="5"/>
  <c r="R62" i="5"/>
  <c r="T62" i="5"/>
  <c r="U62" i="5"/>
  <c r="V62" i="5"/>
  <c r="Y62" i="5"/>
  <c r="Z62" i="5"/>
  <c r="AC62" i="5"/>
  <c r="AD62" i="5"/>
  <c r="AE62" i="5"/>
  <c r="AF62" i="5"/>
  <c r="AG62" i="5"/>
  <c r="AH62" i="5"/>
  <c r="AJ62" i="5"/>
  <c r="AK62" i="5"/>
  <c r="AL62" i="5"/>
  <c r="AO62" i="5"/>
  <c r="AP62" i="5"/>
  <c r="AS62" i="5"/>
  <c r="AT62" i="5"/>
  <c r="AU62" i="5"/>
  <c r="AV62" i="5"/>
  <c r="AW62" i="5"/>
  <c r="AX62" i="5"/>
  <c r="D63" i="5"/>
  <c r="E63" i="5"/>
  <c r="F63" i="5"/>
  <c r="I63" i="5"/>
  <c r="J63" i="5"/>
  <c r="M63" i="5"/>
  <c r="N63" i="5"/>
  <c r="O63" i="5"/>
  <c r="P63" i="5"/>
  <c r="Q63" i="5"/>
  <c r="R63" i="5"/>
  <c r="T63" i="5"/>
  <c r="U63" i="5"/>
  <c r="V63" i="5"/>
  <c r="Y63" i="5"/>
  <c r="Z63" i="5"/>
  <c r="AC63" i="5"/>
  <c r="AD63" i="5"/>
  <c r="AE63" i="5"/>
  <c r="AF63" i="5"/>
  <c r="AG63" i="5"/>
  <c r="AH63" i="5"/>
  <c r="AJ63" i="5"/>
  <c r="AK63" i="5"/>
  <c r="AL63" i="5"/>
  <c r="AO63" i="5"/>
  <c r="AP63" i="5"/>
  <c r="AS63" i="5"/>
  <c r="AT63" i="5"/>
  <c r="AU63" i="5"/>
  <c r="AV63" i="5"/>
  <c r="AW63" i="5"/>
  <c r="AX63" i="5"/>
  <c r="D64" i="5"/>
  <c r="E64" i="5"/>
  <c r="F64" i="5"/>
  <c r="I64" i="5"/>
  <c r="J64" i="5"/>
  <c r="M64" i="5"/>
  <c r="N64" i="5"/>
  <c r="O64" i="5"/>
  <c r="P64" i="5"/>
  <c r="Q64" i="5"/>
  <c r="R64" i="5"/>
  <c r="T64" i="5"/>
  <c r="U64" i="5"/>
  <c r="V64" i="5"/>
  <c r="Y64" i="5"/>
  <c r="Z64" i="5"/>
  <c r="AC64" i="5"/>
  <c r="AD64" i="5"/>
  <c r="AE64" i="5"/>
  <c r="AF64" i="5"/>
  <c r="AG64" i="5"/>
  <c r="AH64" i="5"/>
  <c r="AJ64" i="5"/>
  <c r="AK64" i="5"/>
  <c r="AL64" i="5"/>
  <c r="AO64" i="5"/>
  <c r="AP64" i="5"/>
  <c r="AS64" i="5"/>
  <c r="AT64" i="5"/>
  <c r="AU64" i="5"/>
  <c r="AV64" i="5"/>
  <c r="AW64" i="5"/>
  <c r="AX64" i="5"/>
  <c r="D65" i="5"/>
  <c r="E65" i="5"/>
  <c r="F65" i="5"/>
  <c r="I65" i="5"/>
  <c r="J65" i="5"/>
  <c r="M65" i="5"/>
  <c r="N65" i="5"/>
  <c r="O65" i="5"/>
  <c r="P65" i="5"/>
  <c r="Q65" i="5"/>
  <c r="R65" i="5"/>
  <c r="T65" i="5"/>
  <c r="U65" i="5"/>
  <c r="V65" i="5"/>
  <c r="Y65" i="5"/>
  <c r="Z65" i="5"/>
  <c r="AC65" i="5"/>
  <c r="AD65" i="5"/>
  <c r="AE65" i="5"/>
  <c r="AF65" i="5"/>
  <c r="AG65" i="5"/>
  <c r="AH65" i="5"/>
  <c r="AJ65" i="5"/>
  <c r="AK65" i="5"/>
  <c r="AL65" i="5"/>
  <c r="AO65" i="5"/>
  <c r="AP65" i="5"/>
  <c r="AS65" i="5"/>
  <c r="AT65" i="5"/>
  <c r="AU65" i="5"/>
  <c r="AV65" i="5"/>
  <c r="AW65" i="5"/>
  <c r="AX65" i="5"/>
  <c r="D66" i="5"/>
  <c r="E66" i="5"/>
  <c r="F66" i="5"/>
  <c r="I66" i="5"/>
  <c r="J66" i="5"/>
  <c r="M66" i="5"/>
  <c r="N66" i="5"/>
  <c r="O66" i="5"/>
  <c r="P66" i="5"/>
  <c r="Q66" i="5"/>
  <c r="R66" i="5"/>
  <c r="T66" i="5"/>
  <c r="U66" i="5"/>
  <c r="V66" i="5"/>
  <c r="Y66" i="5"/>
  <c r="Z66" i="5"/>
  <c r="AC66" i="5"/>
  <c r="AD66" i="5"/>
  <c r="AE66" i="5"/>
  <c r="AF66" i="5"/>
  <c r="AG66" i="5"/>
  <c r="AH66" i="5"/>
  <c r="AJ66" i="5"/>
  <c r="AK66" i="5"/>
  <c r="AL66" i="5"/>
  <c r="AO66" i="5"/>
  <c r="AP66" i="5"/>
  <c r="AS66" i="5"/>
  <c r="AT66" i="5"/>
  <c r="AU66" i="5"/>
  <c r="AV66" i="5"/>
  <c r="AW66" i="5"/>
  <c r="AX66" i="5"/>
  <c r="D67" i="5"/>
  <c r="E67" i="5"/>
  <c r="F67" i="5"/>
  <c r="I67" i="5"/>
  <c r="J67" i="5"/>
  <c r="M67" i="5"/>
  <c r="N67" i="5"/>
  <c r="O67" i="5"/>
  <c r="P67" i="5"/>
  <c r="Q67" i="5"/>
  <c r="R67" i="5"/>
  <c r="T67" i="5"/>
  <c r="U67" i="5"/>
  <c r="V67" i="5"/>
  <c r="Y67" i="5"/>
  <c r="Z67" i="5"/>
  <c r="AC67" i="5"/>
  <c r="AD67" i="5"/>
  <c r="AE67" i="5"/>
  <c r="AF67" i="5"/>
  <c r="AG67" i="5"/>
  <c r="AH67" i="5"/>
  <c r="AJ67" i="5"/>
  <c r="AK67" i="5"/>
  <c r="AL67" i="5"/>
  <c r="AO67" i="5"/>
  <c r="AP67" i="5"/>
  <c r="AS67" i="5"/>
  <c r="AT67" i="5"/>
  <c r="AU67" i="5"/>
  <c r="AV67" i="5"/>
  <c r="AW67" i="5"/>
  <c r="AX67" i="5"/>
  <c r="D68" i="5"/>
  <c r="E68" i="5"/>
  <c r="F68" i="5"/>
  <c r="I68" i="5"/>
  <c r="J68" i="5"/>
  <c r="M68" i="5"/>
  <c r="N68" i="5"/>
  <c r="O68" i="5"/>
  <c r="P68" i="5"/>
  <c r="Q68" i="5"/>
  <c r="R68" i="5"/>
  <c r="T68" i="5"/>
  <c r="U68" i="5"/>
  <c r="V68" i="5"/>
  <c r="Y68" i="5"/>
  <c r="Z68" i="5"/>
  <c r="AC68" i="5"/>
  <c r="AD68" i="5"/>
  <c r="AE68" i="5"/>
  <c r="AF68" i="5"/>
  <c r="AG68" i="5"/>
  <c r="AH68" i="5"/>
  <c r="AJ68" i="5"/>
  <c r="AK68" i="5"/>
  <c r="AL68" i="5"/>
  <c r="AO68" i="5"/>
  <c r="AP68" i="5"/>
  <c r="AS68" i="5"/>
  <c r="AT68" i="5"/>
  <c r="AU68" i="5"/>
  <c r="AV68" i="5"/>
  <c r="AW68" i="5"/>
  <c r="AX68" i="5"/>
  <c r="D69" i="5"/>
  <c r="E69" i="5"/>
  <c r="F69" i="5"/>
  <c r="I69" i="5"/>
  <c r="J69" i="5"/>
  <c r="M69" i="5"/>
  <c r="N69" i="5"/>
  <c r="O69" i="5"/>
  <c r="P69" i="5"/>
  <c r="Q69" i="5"/>
  <c r="R69" i="5"/>
  <c r="T69" i="5"/>
  <c r="U69" i="5"/>
  <c r="V69" i="5"/>
  <c r="Y69" i="5"/>
  <c r="Z69" i="5"/>
  <c r="AC69" i="5"/>
  <c r="AD69" i="5"/>
  <c r="AE69" i="5"/>
  <c r="AF69" i="5"/>
  <c r="AG69" i="5"/>
  <c r="AH69" i="5"/>
  <c r="AJ69" i="5"/>
  <c r="AK69" i="5"/>
  <c r="AL69" i="5"/>
  <c r="AO69" i="5"/>
  <c r="AP69" i="5"/>
  <c r="AS69" i="5"/>
  <c r="AT69" i="5"/>
  <c r="AU69" i="5"/>
  <c r="AV69" i="5"/>
  <c r="AW69" i="5"/>
  <c r="AX69" i="5"/>
  <c r="D70" i="5"/>
  <c r="E70" i="5"/>
  <c r="F70" i="5"/>
  <c r="I70" i="5"/>
  <c r="J70" i="5"/>
  <c r="M70" i="5"/>
  <c r="N70" i="5"/>
  <c r="O70" i="5"/>
  <c r="P70" i="5"/>
  <c r="Q70" i="5"/>
  <c r="R70" i="5"/>
  <c r="T70" i="5"/>
  <c r="U70" i="5"/>
  <c r="V70" i="5"/>
  <c r="Y70" i="5"/>
  <c r="Z70" i="5"/>
  <c r="AC70" i="5"/>
  <c r="AD70" i="5"/>
  <c r="AE70" i="5"/>
  <c r="AF70" i="5"/>
  <c r="AG70" i="5"/>
  <c r="AH70" i="5"/>
  <c r="AJ70" i="5"/>
  <c r="AK70" i="5"/>
  <c r="AL70" i="5"/>
  <c r="AO70" i="5"/>
  <c r="AP70" i="5"/>
  <c r="AS70" i="5"/>
  <c r="AT70" i="5"/>
  <c r="AU70" i="5"/>
  <c r="AV70" i="5"/>
  <c r="AW70" i="5"/>
  <c r="AX70" i="5"/>
  <c r="D71" i="5"/>
  <c r="E71" i="5"/>
  <c r="F71" i="5"/>
  <c r="I71" i="5"/>
  <c r="J71" i="5"/>
  <c r="M71" i="5"/>
  <c r="N71" i="5"/>
  <c r="O71" i="5"/>
  <c r="P71" i="5"/>
  <c r="Q71" i="5"/>
  <c r="R71" i="5"/>
  <c r="T71" i="5"/>
  <c r="U71" i="5"/>
  <c r="V71" i="5"/>
  <c r="Y71" i="5"/>
  <c r="Z71" i="5"/>
  <c r="AC71" i="5"/>
  <c r="AD71" i="5"/>
  <c r="AE71" i="5"/>
  <c r="AF71" i="5"/>
  <c r="AG71" i="5"/>
  <c r="AH71" i="5"/>
  <c r="AJ71" i="5"/>
  <c r="AK71" i="5"/>
  <c r="AL71" i="5"/>
  <c r="AO71" i="5"/>
  <c r="AP71" i="5"/>
  <c r="AS71" i="5"/>
  <c r="AT71" i="5"/>
  <c r="AU71" i="5"/>
  <c r="AV71" i="5"/>
  <c r="AW71" i="5"/>
  <c r="AX71" i="5"/>
  <c r="D72" i="5"/>
  <c r="E72" i="5"/>
  <c r="F72" i="5"/>
  <c r="I72" i="5"/>
  <c r="J72" i="5"/>
  <c r="M72" i="5"/>
  <c r="N72" i="5"/>
  <c r="O72" i="5"/>
  <c r="P72" i="5"/>
  <c r="Q72" i="5"/>
  <c r="R72" i="5"/>
  <c r="T72" i="5"/>
  <c r="U72" i="5"/>
  <c r="V72" i="5"/>
  <c r="Y72" i="5"/>
  <c r="Z72" i="5"/>
  <c r="AC72" i="5"/>
  <c r="AD72" i="5"/>
  <c r="AE72" i="5"/>
  <c r="AF72" i="5"/>
  <c r="AG72" i="5"/>
  <c r="AH72" i="5"/>
  <c r="AJ72" i="5"/>
  <c r="AK72" i="5"/>
  <c r="AL72" i="5"/>
  <c r="AO72" i="5"/>
  <c r="AP72" i="5"/>
  <c r="AS72" i="5"/>
  <c r="AT72" i="5"/>
  <c r="AU72" i="5"/>
  <c r="AV72" i="5"/>
  <c r="AW72" i="5"/>
  <c r="AX72" i="5"/>
  <c r="D73" i="5"/>
  <c r="E73" i="5"/>
  <c r="F73" i="5"/>
  <c r="I73" i="5"/>
  <c r="J73" i="5"/>
  <c r="M73" i="5"/>
  <c r="N73" i="5"/>
  <c r="O73" i="5"/>
  <c r="P73" i="5"/>
  <c r="Q73" i="5"/>
  <c r="R73" i="5"/>
  <c r="T73" i="5"/>
  <c r="U73" i="5"/>
  <c r="V73" i="5"/>
  <c r="Y73" i="5"/>
  <c r="Z73" i="5"/>
  <c r="AC73" i="5"/>
  <c r="AD73" i="5"/>
  <c r="AE73" i="5"/>
  <c r="AF73" i="5"/>
  <c r="AG73" i="5"/>
  <c r="AH73" i="5"/>
  <c r="AJ73" i="5"/>
  <c r="AK73" i="5"/>
  <c r="AL73" i="5"/>
  <c r="AO73" i="5"/>
  <c r="AP73" i="5"/>
  <c r="AS73" i="5"/>
  <c r="AT73" i="5"/>
  <c r="AU73" i="5"/>
  <c r="AV73" i="5"/>
  <c r="AW73" i="5"/>
  <c r="AX73" i="5"/>
  <c r="D74" i="5"/>
  <c r="E74" i="5"/>
  <c r="F74" i="5"/>
  <c r="I74" i="5"/>
  <c r="J74" i="5"/>
  <c r="M74" i="5"/>
  <c r="N74" i="5"/>
  <c r="O74" i="5"/>
  <c r="P74" i="5"/>
  <c r="Q74" i="5"/>
  <c r="R74" i="5"/>
  <c r="T74" i="5"/>
  <c r="U74" i="5"/>
  <c r="V74" i="5"/>
  <c r="Y74" i="5"/>
  <c r="Z74" i="5"/>
  <c r="AC74" i="5"/>
  <c r="AD74" i="5"/>
  <c r="AE74" i="5"/>
  <c r="AF74" i="5"/>
  <c r="AG74" i="5"/>
  <c r="AH74" i="5"/>
  <c r="AJ74" i="5"/>
  <c r="AK74" i="5"/>
  <c r="AL74" i="5"/>
  <c r="AO74" i="5"/>
  <c r="AP74" i="5"/>
  <c r="AS74" i="5"/>
  <c r="AT74" i="5"/>
  <c r="AU74" i="5"/>
  <c r="AV74" i="5"/>
  <c r="AW74" i="5"/>
  <c r="AX74" i="5"/>
  <c r="D75" i="5"/>
  <c r="E75" i="5"/>
  <c r="F75" i="5"/>
  <c r="I75" i="5"/>
  <c r="J75" i="5"/>
  <c r="M75" i="5"/>
  <c r="N75" i="5"/>
  <c r="O75" i="5"/>
  <c r="P75" i="5"/>
  <c r="Q75" i="5"/>
  <c r="R75" i="5"/>
  <c r="T75" i="5"/>
  <c r="U75" i="5"/>
  <c r="V75" i="5"/>
  <c r="Y75" i="5"/>
  <c r="Z75" i="5"/>
  <c r="AC75" i="5"/>
  <c r="AD75" i="5"/>
  <c r="AE75" i="5"/>
  <c r="AF75" i="5"/>
  <c r="AG75" i="5"/>
  <c r="AH75" i="5"/>
  <c r="AJ75" i="5"/>
  <c r="AK75" i="5"/>
  <c r="AL75" i="5"/>
  <c r="AO75" i="5"/>
  <c r="AP75" i="5"/>
  <c r="AS75" i="5"/>
  <c r="AT75" i="5"/>
  <c r="AU75" i="5"/>
  <c r="AV75" i="5"/>
  <c r="AW75" i="5"/>
  <c r="AX75" i="5"/>
  <c r="D76" i="5"/>
  <c r="E76" i="5"/>
  <c r="F76" i="5"/>
  <c r="I76" i="5"/>
  <c r="J76" i="5"/>
  <c r="M76" i="5"/>
  <c r="N76" i="5"/>
  <c r="O76" i="5"/>
  <c r="P76" i="5"/>
  <c r="Q76" i="5"/>
  <c r="R76" i="5"/>
  <c r="T76" i="5"/>
  <c r="U76" i="5"/>
  <c r="V76" i="5"/>
  <c r="Y76" i="5"/>
  <c r="Z76" i="5"/>
  <c r="AC76" i="5"/>
  <c r="AD76" i="5"/>
  <c r="AE76" i="5"/>
  <c r="AF76" i="5"/>
  <c r="AG76" i="5"/>
  <c r="AH76" i="5"/>
  <c r="AJ76" i="5"/>
  <c r="AK76" i="5"/>
  <c r="AL76" i="5"/>
  <c r="AO76" i="5"/>
  <c r="AP76" i="5"/>
  <c r="AS76" i="5"/>
  <c r="AT76" i="5"/>
  <c r="AU76" i="5"/>
  <c r="AV76" i="5"/>
  <c r="AW76" i="5"/>
  <c r="AX76" i="5"/>
  <c r="D77" i="5"/>
  <c r="E77" i="5"/>
  <c r="F77" i="5"/>
  <c r="I77" i="5"/>
  <c r="J77" i="5"/>
  <c r="M77" i="5"/>
  <c r="N77" i="5"/>
  <c r="O77" i="5"/>
  <c r="P77" i="5"/>
  <c r="Q77" i="5"/>
  <c r="R77" i="5"/>
  <c r="T77" i="5"/>
  <c r="U77" i="5"/>
  <c r="V77" i="5"/>
  <c r="Y77" i="5"/>
  <c r="Z77" i="5"/>
  <c r="AC77" i="5"/>
  <c r="AD77" i="5"/>
  <c r="AE77" i="5"/>
  <c r="AF77" i="5"/>
  <c r="AG77" i="5"/>
  <c r="AH77" i="5"/>
  <c r="AJ77" i="5"/>
  <c r="AK77" i="5"/>
  <c r="AL77" i="5"/>
  <c r="AO77" i="5"/>
  <c r="AP77" i="5"/>
  <c r="AS77" i="5"/>
  <c r="AT77" i="5"/>
  <c r="AU77" i="5"/>
  <c r="AV77" i="5"/>
  <c r="AW77" i="5"/>
  <c r="AX77" i="5"/>
  <c r="D78" i="5"/>
  <c r="E78" i="5"/>
  <c r="F78" i="5"/>
  <c r="I78" i="5"/>
  <c r="J78" i="5"/>
  <c r="M78" i="5"/>
  <c r="N78" i="5"/>
  <c r="O78" i="5"/>
  <c r="P78" i="5"/>
  <c r="Q78" i="5"/>
  <c r="R78" i="5"/>
  <c r="T78" i="5"/>
  <c r="U78" i="5"/>
  <c r="V78" i="5"/>
  <c r="Y78" i="5"/>
  <c r="Z78" i="5"/>
  <c r="AC78" i="5"/>
  <c r="AD78" i="5"/>
  <c r="AE78" i="5"/>
  <c r="AF78" i="5"/>
  <c r="AG78" i="5"/>
  <c r="AH78" i="5"/>
  <c r="AJ78" i="5"/>
  <c r="AK78" i="5"/>
  <c r="AL78" i="5"/>
  <c r="AO78" i="5"/>
  <c r="AP78" i="5"/>
  <c r="AS78" i="5"/>
  <c r="AT78" i="5"/>
  <c r="AU78" i="5"/>
  <c r="AV78" i="5"/>
  <c r="AW78" i="5"/>
  <c r="AX78" i="5"/>
  <c r="D79" i="5"/>
  <c r="E79" i="5"/>
  <c r="F79" i="5"/>
  <c r="I79" i="5"/>
  <c r="J79" i="5"/>
  <c r="M79" i="5"/>
  <c r="N79" i="5"/>
  <c r="O79" i="5"/>
  <c r="P79" i="5"/>
  <c r="Q79" i="5"/>
  <c r="R79" i="5"/>
  <c r="T79" i="5"/>
  <c r="U79" i="5"/>
  <c r="V79" i="5"/>
  <c r="Y79" i="5"/>
  <c r="Z79" i="5"/>
  <c r="AC79" i="5"/>
  <c r="AD79" i="5"/>
  <c r="AE79" i="5"/>
  <c r="AF79" i="5"/>
  <c r="AG79" i="5"/>
  <c r="AH79" i="5"/>
  <c r="AJ79" i="5"/>
  <c r="AK79" i="5"/>
  <c r="AL79" i="5"/>
  <c r="AO79" i="5"/>
  <c r="AP79" i="5"/>
  <c r="AS79" i="5"/>
  <c r="AT79" i="5"/>
  <c r="AU79" i="5"/>
  <c r="AV79" i="5"/>
  <c r="AW79" i="5"/>
  <c r="AX79" i="5"/>
  <c r="D80" i="5"/>
  <c r="E80" i="5"/>
  <c r="F80" i="5"/>
  <c r="I80" i="5"/>
  <c r="J80" i="5"/>
  <c r="M80" i="5"/>
  <c r="N80" i="5"/>
  <c r="O80" i="5"/>
  <c r="P80" i="5"/>
  <c r="Q80" i="5"/>
  <c r="R80" i="5"/>
  <c r="T80" i="5"/>
  <c r="U80" i="5"/>
  <c r="V80" i="5"/>
  <c r="Y80" i="5"/>
  <c r="Z80" i="5"/>
  <c r="AC80" i="5"/>
  <c r="AD80" i="5"/>
  <c r="AE80" i="5"/>
  <c r="AF80" i="5"/>
  <c r="AG80" i="5"/>
  <c r="AH80" i="5"/>
  <c r="AJ80" i="5"/>
  <c r="AK80" i="5"/>
  <c r="AL80" i="5"/>
  <c r="AO80" i="5"/>
  <c r="AP80" i="5"/>
  <c r="AS80" i="5"/>
  <c r="AT80" i="5"/>
  <c r="AU80" i="5"/>
  <c r="AV80" i="5"/>
  <c r="AW80" i="5"/>
  <c r="AX80" i="5"/>
  <c r="D81" i="5"/>
  <c r="E81" i="5"/>
  <c r="F81" i="5"/>
  <c r="I81" i="5"/>
  <c r="J81" i="5"/>
  <c r="M81" i="5"/>
  <c r="N81" i="5"/>
  <c r="O81" i="5"/>
  <c r="P81" i="5"/>
  <c r="Q81" i="5"/>
  <c r="R81" i="5"/>
  <c r="T81" i="5"/>
  <c r="U81" i="5"/>
  <c r="V81" i="5"/>
  <c r="Y81" i="5"/>
  <c r="Z81" i="5"/>
  <c r="AC81" i="5"/>
  <c r="AD81" i="5"/>
  <c r="AE81" i="5"/>
  <c r="AF81" i="5"/>
  <c r="AG81" i="5"/>
  <c r="AH81" i="5"/>
  <c r="AJ81" i="5"/>
  <c r="AK81" i="5"/>
  <c r="AL81" i="5"/>
  <c r="AO81" i="5"/>
  <c r="AP81" i="5"/>
  <c r="AS81" i="5"/>
  <c r="AT81" i="5"/>
  <c r="AU81" i="5"/>
  <c r="AV81" i="5"/>
  <c r="AW81" i="5"/>
  <c r="AX81" i="5"/>
  <c r="D82" i="5"/>
  <c r="E82" i="5"/>
  <c r="F82" i="5"/>
  <c r="I82" i="5"/>
  <c r="J82" i="5"/>
  <c r="M82" i="5"/>
  <c r="N82" i="5"/>
  <c r="O82" i="5"/>
  <c r="P82" i="5"/>
  <c r="Q82" i="5"/>
  <c r="R82" i="5"/>
  <c r="T82" i="5"/>
  <c r="U82" i="5"/>
  <c r="V82" i="5"/>
  <c r="Y82" i="5"/>
  <c r="Z82" i="5"/>
  <c r="AC82" i="5"/>
  <c r="AD82" i="5"/>
  <c r="AE82" i="5"/>
  <c r="AF82" i="5"/>
  <c r="AG82" i="5"/>
  <c r="AH82" i="5"/>
  <c r="AJ82" i="5"/>
  <c r="AK82" i="5"/>
  <c r="AL82" i="5"/>
  <c r="AO82" i="5"/>
  <c r="AP82" i="5"/>
  <c r="AS82" i="5"/>
  <c r="AT82" i="5"/>
  <c r="AU82" i="5"/>
  <c r="AV82" i="5"/>
  <c r="AW82" i="5"/>
  <c r="AX82" i="5"/>
  <c r="D83" i="5"/>
  <c r="E83" i="5"/>
  <c r="F83" i="5"/>
  <c r="I83" i="5"/>
  <c r="J83" i="5"/>
  <c r="M83" i="5"/>
  <c r="N83" i="5"/>
  <c r="O83" i="5"/>
  <c r="P83" i="5"/>
  <c r="Q83" i="5"/>
  <c r="R83" i="5"/>
  <c r="T83" i="5"/>
  <c r="U83" i="5"/>
  <c r="V83" i="5"/>
  <c r="Y83" i="5"/>
  <c r="Z83" i="5"/>
  <c r="AC83" i="5"/>
  <c r="AD83" i="5"/>
  <c r="AE83" i="5"/>
  <c r="AF83" i="5"/>
  <c r="AG83" i="5"/>
  <c r="AH83" i="5"/>
  <c r="AJ83" i="5"/>
  <c r="AK83" i="5"/>
  <c r="AL83" i="5"/>
  <c r="AO83" i="5"/>
  <c r="AP83" i="5"/>
  <c r="AS83" i="5"/>
  <c r="AT83" i="5"/>
  <c r="AU83" i="5"/>
  <c r="AV83" i="5"/>
  <c r="AW83" i="5"/>
  <c r="AX83" i="5"/>
  <c r="D84" i="5"/>
  <c r="E84" i="5"/>
  <c r="F84" i="5"/>
  <c r="I84" i="5"/>
  <c r="J84" i="5"/>
  <c r="M84" i="5"/>
  <c r="N84" i="5"/>
  <c r="O84" i="5"/>
  <c r="P84" i="5"/>
  <c r="Q84" i="5"/>
  <c r="R84" i="5"/>
  <c r="T84" i="5"/>
  <c r="U84" i="5"/>
  <c r="V84" i="5"/>
  <c r="Y84" i="5"/>
  <c r="Z84" i="5"/>
  <c r="AC84" i="5"/>
  <c r="AD84" i="5"/>
  <c r="AE84" i="5"/>
  <c r="AF84" i="5"/>
  <c r="AG84" i="5"/>
  <c r="AH84" i="5"/>
  <c r="AJ84" i="5"/>
  <c r="AK84" i="5"/>
  <c r="AL84" i="5"/>
  <c r="AO84" i="5"/>
  <c r="AP84" i="5"/>
  <c r="AS84" i="5"/>
  <c r="AT84" i="5"/>
  <c r="AU84" i="5"/>
  <c r="AV84" i="5"/>
  <c r="AW84" i="5"/>
  <c r="AX84" i="5"/>
  <c r="D85" i="5"/>
  <c r="E85" i="5"/>
  <c r="F85" i="5"/>
  <c r="I85" i="5"/>
  <c r="J85" i="5"/>
  <c r="M85" i="5"/>
  <c r="N85" i="5"/>
  <c r="O85" i="5"/>
  <c r="P85" i="5"/>
  <c r="Q85" i="5"/>
  <c r="R85" i="5"/>
  <c r="T85" i="5"/>
  <c r="U85" i="5"/>
  <c r="V85" i="5"/>
  <c r="Y85" i="5"/>
  <c r="Z85" i="5"/>
  <c r="AC85" i="5"/>
  <c r="AD85" i="5"/>
  <c r="AE85" i="5"/>
  <c r="AF85" i="5"/>
  <c r="AG85" i="5"/>
  <c r="AH85" i="5"/>
  <c r="AJ85" i="5"/>
  <c r="AK85" i="5"/>
  <c r="AL85" i="5"/>
  <c r="AO85" i="5"/>
  <c r="AP85" i="5"/>
  <c r="AS85" i="5"/>
  <c r="AT85" i="5"/>
  <c r="AU85" i="5"/>
  <c r="AV85" i="5"/>
  <c r="AW85" i="5"/>
  <c r="AX85" i="5"/>
  <c r="D86" i="5"/>
  <c r="E86" i="5"/>
  <c r="F86" i="5"/>
  <c r="I86" i="5"/>
  <c r="J86" i="5"/>
  <c r="M86" i="5"/>
  <c r="N86" i="5"/>
  <c r="O86" i="5"/>
  <c r="P86" i="5"/>
  <c r="Q86" i="5"/>
  <c r="R86" i="5"/>
  <c r="T86" i="5"/>
  <c r="U86" i="5"/>
  <c r="V86" i="5"/>
  <c r="Y86" i="5"/>
  <c r="Z86" i="5"/>
  <c r="AC86" i="5"/>
  <c r="AD86" i="5"/>
  <c r="AE86" i="5"/>
  <c r="AF86" i="5"/>
  <c r="AG86" i="5"/>
  <c r="AH86" i="5"/>
  <c r="AJ86" i="5"/>
  <c r="AK86" i="5"/>
  <c r="AL86" i="5"/>
  <c r="AO86" i="5"/>
  <c r="AP86" i="5"/>
  <c r="AS86" i="5"/>
  <c r="AT86" i="5"/>
  <c r="AU86" i="5"/>
  <c r="AV86" i="5"/>
  <c r="AW86" i="5"/>
  <c r="AX86" i="5"/>
  <c r="D87" i="5"/>
  <c r="E87" i="5"/>
  <c r="F87" i="5"/>
  <c r="I87" i="5"/>
  <c r="J87" i="5"/>
  <c r="M87" i="5"/>
  <c r="N87" i="5"/>
  <c r="O87" i="5"/>
  <c r="P87" i="5"/>
  <c r="Q87" i="5"/>
  <c r="R87" i="5"/>
  <c r="T87" i="5"/>
  <c r="U87" i="5"/>
  <c r="V87" i="5"/>
  <c r="Y87" i="5"/>
  <c r="Z87" i="5"/>
  <c r="AC87" i="5"/>
  <c r="AD87" i="5"/>
  <c r="AE87" i="5"/>
  <c r="AF87" i="5"/>
  <c r="AG87" i="5"/>
  <c r="AH87" i="5"/>
  <c r="AJ87" i="5"/>
  <c r="AK87" i="5"/>
  <c r="AL87" i="5"/>
  <c r="AO87" i="5"/>
  <c r="AP87" i="5"/>
  <c r="AS87" i="5"/>
  <c r="AT87" i="5"/>
  <c r="AU87" i="5"/>
  <c r="AV87" i="5"/>
  <c r="AW87" i="5"/>
  <c r="AX87" i="5"/>
  <c r="D88" i="5"/>
  <c r="E88" i="5"/>
  <c r="F88" i="5"/>
  <c r="I88" i="5"/>
  <c r="J88" i="5"/>
  <c r="M88" i="5"/>
  <c r="N88" i="5"/>
  <c r="O88" i="5"/>
  <c r="P88" i="5"/>
  <c r="Q88" i="5"/>
  <c r="R88" i="5"/>
  <c r="T88" i="5"/>
  <c r="U88" i="5"/>
  <c r="V88" i="5"/>
  <c r="Y88" i="5"/>
  <c r="Z88" i="5"/>
  <c r="AC88" i="5"/>
  <c r="AD88" i="5"/>
  <c r="AE88" i="5"/>
  <c r="AF88" i="5"/>
  <c r="AG88" i="5"/>
  <c r="AH88" i="5"/>
  <c r="AJ88" i="5"/>
  <c r="AK88" i="5"/>
  <c r="AL88" i="5"/>
  <c r="AO88" i="5"/>
  <c r="AP88" i="5"/>
  <c r="AS88" i="5"/>
  <c r="AT88" i="5"/>
  <c r="AU88" i="5"/>
  <c r="AV88" i="5"/>
  <c r="AW88" i="5"/>
  <c r="AX88" i="5"/>
  <c r="D89" i="5"/>
  <c r="E89" i="5"/>
  <c r="F89" i="5"/>
  <c r="I89" i="5"/>
  <c r="J89" i="5"/>
  <c r="M89" i="5"/>
  <c r="N89" i="5"/>
  <c r="O89" i="5"/>
  <c r="P89" i="5"/>
  <c r="Q89" i="5"/>
  <c r="R89" i="5"/>
  <c r="T89" i="5"/>
  <c r="U89" i="5"/>
  <c r="V89" i="5"/>
  <c r="Y89" i="5"/>
  <c r="Z89" i="5"/>
  <c r="AC89" i="5"/>
  <c r="AD89" i="5"/>
  <c r="AE89" i="5"/>
  <c r="AF89" i="5"/>
  <c r="AG89" i="5"/>
  <c r="AH89" i="5"/>
  <c r="AJ89" i="5"/>
  <c r="AK89" i="5"/>
  <c r="AL89" i="5"/>
  <c r="AO89" i="5"/>
  <c r="AP89" i="5"/>
  <c r="AS89" i="5"/>
  <c r="AT89" i="5"/>
  <c r="AU89" i="5"/>
  <c r="AV89" i="5"/>
  <c r="AW89" i="5"/>
  <c r="AX89" i="5"/>
  <c r="C4" i="7"/>
  <c r="D4" i="7"/>
  <c r="E4" i="7"/>
  <c r="F4" i="7"/>
  <c r="H4" i="7"/>
  <c r="J4" i="7"/>
  <c r="K4" i="7"/>
  <c r="M4" i="7"/>
  <c r="N4" i="7"/>
  <c r="O4" i="7"/>
  <c r="Q4" i="7"/>
  <c r="S4" i="7"/>
  <c r="T4" i="7"/>
  <c r="U4" i="7"/>
  <c r="V4" i="7"/>
  <c r="W4" i="7"/>
  <c r="Y4" i="7"/>
  <c r="Z4" i="7"/>
  <c r="AA4" i="7"/>
  <c r="AB4" i="7"/>
  <c r="AD4" i="7"/>
  <c r="AF4" i="7"/>
  <c r="AG4" i="7"/>
  <c r="AI4" i="7"/>
  <c r="AJ4" i="7"/>
  <c r="AK4" i="7"/>
  <c r="AM4" i="7"/>
  <c r="AO4" i="7"/>
  <c r="AP4" i="7"/>
  <c r="AQ4" i="7"/>
  <c r="AR4" i="7"/>
  <c r="AS4" i="7"/>
  <c r="AU4" i="7"/>
  <c r="AV4" i="7"/>
  <c r="AW4" i="7"/>
  <c r="AX4" i="7"/>
  <c r="AZ4" i="7"/>
  <c r="BB4" i="7"/>
  <c r="BC4" i="7"/>
  <c r="BE4" i="7"/>
  <c r="BF4" i="7"/>
  <c r="BG4" i="7"/>
  <c r="BI4" i="7"/>
  <c r="BK4" i="7"/>
  <c r="BL4" i="7"/>
  <c r="BM4" i="7"/>
  <c r="BN4" i="7"/>
  <c r="BO4" i="7"/>
  <c r="C5" i="7"/>
  <c r="D5" i="7"/>
  <c r="E5" i="7"/>
  <c r="F5" i="7"/>
  <c r="H5" i="7"/>
  <c r="J5" i="7"/>
  <c r="K5" i="7"/>
  <c r="M5" i="7"/>
  <c r="N5" i="7"/>
  <c r="O5" i="7"/>
  <c r="Q5" i="7"/>
  <c r="S5" i="7"/>
  <c r="T5" i="7"/>
  <c r="U5" i="7"/>
  <c r="V5" i="7"/>
  <c r="W5" i="7"/>
  <c r="Y5" i="7"/>
  <c r="Z5" i="7"/>
  <c r="AA5" i="7"/>
  <c r="AB5" i="7"/>
  <c r="AD5" i="7"/>
  <c r="AF5" i="7"/>
  <c r="AG5" i="7"/>
  <c r="AI5" i="7"/>
  <c r="AJ5" i="7"/>
  <c r="AK5" i="7"/>
  <c r="AM5" i="7"/>
  <c r="AO5" i="7"/>
  <c r="AP5" i="7"/>
  <c r="AQ5" i="7"/>
  <c r="AR5" i="7"/>
  <c r="AS5" i="7"/>
  <c r="AU5" i="7"/>
  <c r="AV5" i="7"/>
  <c r="AW5" i="7"/>
  <c r="AX5" i="7"/>
  <c r="AZ5" i="7"/>
  <c r="BB5" i="7"/>
  <c r="BC5" i="7"/>
  <c r="BE5" i="7"/>
  <c r="BF5" i="7"/>
  <c r="BG5" i="7"/>
  <c r="BI5" i="7"/>
  <c r="BK5" i="7"/>
  <c r="BL5" i="7"/>
  <c r="BM5" i="7"/>
  <c r="BN5" i="7"/>
  <c r="BO5" i="7"/>
  <c r="C6" i="7"/>
  <c r="D6" i="7"/>
  <c r="E6" i="7"/>
  <c r="F6" i="7"/>
  <c r="H6" i="7"/>
  <c r="J6" i="7"/>
  <c r="K6" i="7"/>
  <c r="M6" i="7"/>
  <c r="N6" i="7"/>
  <c r="O6" i="7"/>
  <c r="Q6" i="7"/>
  <c r="S6" i="7"/>
  <c r="T6" i="7"/>
  <c r="U6" i="7"/>
  <c r="V6" i="7"/>
  <c r="W6" i="7"/>
  <c r="Y6" i="7"/>
  <c r="Z6" i="7"/>
  <c r="AA6" i="7"/>
  <c r="AB6" i="7"/>
  <c r="AD6" i="7"/>
  <c r="AF6" i="7"/>
  <c r="AG6" i="7"/>
  <c r="AI6" i="7"/>
  <c r="AJ6" i="7"/>
  <c r="AK6" i="7"/>
  <c r="AM6" i="7"/>
  <c r="AO6" i="7"/>
  <c r="AP6" i="7"/>
  <c r="AQ6" i="7"/>
  <c r="AR6" i="7"/>
  <c r="AS6" i="7"/>
  <c r="AU6" i="7"/>
  <c r="AV6" i="7"/>
  <c r="AW6" i="7"/>
  <c r="AX6" i="7"/>
  <c r="AZ6" i="7"/>
  <c r="BB6" i="7"/>
  <c r="BC6" i="7"/>
  <c r="BE6" i="7"/>
  <c r="BF6" i="7"/>
  <c r="BG6" i="7"/>
  <c r="BI6" i="7"/>
  <c r="BK6" i="7"/>
  <c r="BL6" i="7"/>
  <c r="BM6" i="7"/>
  <c r="BN6" i="7"/>
  <c r="BO6" i="7"/>
  <c r="C7" i="7"/>
  <c r="D7" i="7"/>
  <c r="E7" i="7"/>
  <c r="F7" i="7"/>
  <c r="H7" i="7"/>
  <c r="J7" i="7"/>
  <c r="K7" i="7"/>
  <c r="M7" i="7"/>
  <c r="N7" i="7"/>
  <c r="O7" i="7"/>
  <c r="Q7" i="7"/>
  <c r="S7" i="7"/>
  <c r="T7" i="7"/>
  <c r="U7" i="7"/>
  <c r="V7" i="7"/>
  <c r="W7" i="7"/>
  <c r="Y7" i="7"/>
  <c r="Z7" i="7"/>
  <c r="AA7" i="7"/>
  <c r="AB7" i="7"/>
  <c r="AD7" i="7"/>
  <c r="AF7" i="7"/>
  <c r="AG7" i="7"/>
  <c r="AI7" i="7"/>
  <c r="AJ7" i="7"/>
  <c r="AK7" i="7"/>
  <c r="AM7" i="7"/>
  <c r="AO7" i="7"/>
  <c r="AP7" i="7"/>
  <c r="AQ7" i="7"/>
  <c r="AR7" i="7"/>
  <c r="AS7" i="7"/>
  <c r="AU7" i="7"/>
  <c r="AV7" i="7"/>
  <c r="AW7" i="7"/>
  <c r="AX7" i="7"/>
  <c r="AZ7" i="7"/>
  <c r="BB7" i="7"/>
  <c r="BC7" i="7"/>
  <c r="BE7" i="7"/>
  <c r="BF7" i="7"/>
  <c r="BG7" i="7"/>
  <c r="BI7" i="7"/>
  <c r="BK7" i="7"/>
  <c r="BL7" i="7"/>
  <c r="BM7" i="7"/>
  <c r="BN7" i="7"/>
  <c r="BO7" i="7"/>
  <c r="C8" i="7"/>
  <c r="D8" i="7"/>
  <c r="E8" i="7"/>
  <c r="F8" i="7"/>
  <c r="H8" i="7"/>
  <c r="J8" i="7"/>
  <c r="K8" i="7"/>
  <c r="M8" i="7"/>
  <c r="N8" i="7"/>
  <c r="O8" i="7"/>
  <c r="Q8" i="7"/>
  <c r="S8" i="7"/>
  <c r="T8" i="7"/>
  <c r="U8" i="7"/>
  <c r="V8" i="7"/>
  <c r="W8" i="7"/>
  <c r="Y8" i="7"/>
  <c r="Z8" i="7"/>
  <c r="AA8" i="7"/>
  <c r="AB8" i="7"/>
  <c r="AD8" i="7"/>
  <c r="AF8" i="7"/>
  <c r="AG8" i="7"/>
  <c r="AI8" i="7"/>
  <c r="AJ8" i="7"/>
  <c r="AK8" i="7"/>
  <c r="AM8" i="7"/>
  <c r="AO8" i="7"/>
  <c r="AP8" i="7"/>
  <c r="AQ8" i="7"/>
  <c r="AR8" i="7"/>
  <c r="AS8" i="7"/>
  <c r="AU8" i="7"/>
  <c r="AV8" i="7"/>
  <c r="AW8" i="7"/>
  <c r="AX8" i="7"/>
  <c r="AZ8" i="7"/>
  <c r="BB8" i="7"/>
  <c r="BC8" i="7"/>
  <c r="BE8" i="7"/>
  <c r="BF8" i="7"/>
  <c r="BG8" i="7"/>
  <c r="BI8" i="7"/>
  <c r="BK8" i="7"/>
  <c r="BL8" i="7"/>
  <c r="BM8" i="7"/>
  <c r="BN8" i="7"/>
  <c r="BO8" i="7"/>
  <c r="C9" i="7"/>
  <c r="D9" i="7"/>
  <c r="E9" i="7"/>
  <c r="F9" i="7"/>
  <c r="H9" i="7"/>
  <c r="J9" i="7"/>
  <c r="K9" i="7"/>
  <c r="M9" i="7"/>
  <c r="N9" i="7"/>
  <c r="O9" i="7"/>
  <c r="Q9" i="7"/>
  <c r="S9" i="7"/>
  <c r="T9" i="7"/>
  <c r="U9" i="7"/>
  <c r="V9" i="7"/>
  <c r="W9" i="7"/>
  <c r="Y9" i="7"/>
  <c r="Z9" i="7"/>
  <c r="AA9" i="7"/>
  <c r="AB9" i="7"/>
  <c r="AD9" i="7"/>
  <c r="AF9" i="7"/>
  <c r="AG9" i="7"/>
  <c r="AI9" i="7"/>
  <c r="AJ9" i="7"/>
  <c r="AK9" i="7"/>
  <c r="AM9" i="7"/>
  <c r="AO9" i="7"/>
  <c r="AP9" i="7"/>
  <c r="AQ9" i="7"/>
  <c r="AR9" i="7"/>
  <c r="AS9" i="7"/>
  <c r="AU9" i="7"/>
  <c r="AV9" i="7"/>
  <c r="AW9" i="7"/>
  <c r="AX9" i="7"/>
  <c r="AZ9" i="7"/>
  <c r="BB9" i="7"/>
  <c r="BC9" i="7"/>
  <c r="BE9" i="7"/>
  <c r="BF9" i="7"/>
  <c r="BG9" i="7"/>
  <c r="BI9" i="7"/>
  <c r="BK9" i="7"/>
  <c r="BL9" i="7"/>
  <c r="BM9" i="7"/>
  <c r="BN9" i="7"/>
  <c r="BO9" i="7"/>
  <c r="C10" i="7"/>
  <c r="D10" i="7"/>
  <c r="E10" i="7"/>
  <c r="F10" i="7"/>
  <c r="H10" i="7"/>
  <c r="J10" i="7"/>
  <c r="K10" i="7"/>
  <c r="M10" i="7"/>
  <c r="N10" i="7"/>
  <c r="O10" i="7"/>
  <c r="Q10" i="7"/>
  <c r="S10" i="7"/>
  <c r="T10" i="7"/>
  <c r="U10" i="7"/>
  <c r="V10" i="7"/>
  <c r="W10" i="7"/>
  <c r="Y10" i="7"/>
  <c r="Z10" i="7"/>
  <c r="AA10" i="7"/>
  <c r="AB10" i="7"/>
  <c r="AD10" i="7"/>
  <c r="AF10" i="7"/>
  <c r="AG10" i="7"/>
  <c r="AI10" i="7"/>
  <c r="AJ10" i="7"/>
  <c r="AK10" i="7"/>
  <c r="AM10" i="7"/>
  <c r="AO10" i="7"/>
  <c r="AP10" i="7"/>
  <c r="AQ10" i="7"/>
  <c r="AR10" i="7"/>
  <c r="AS10" i="7"/>
  <c r="AU10" i="7"/>
  <c r="AV10" i="7"/>
  <c r="AW10" i="7"/>
  <c r="AX10" i="7"/>
  <c r="AZ10" i="7"/>
  <c r="BB10" i="7"/>
  <c r="BC10" i="7"/>
  <c r="BE10" i="7"/>
  <c r="BF10" i="7"/>
  <c r="BG10" i="7"/>
  <c r="BI10" i="7"/>
  <c r="BK10" i="7"/>
  <c r="BL10" i="7"/>
  <c r="BM10" i="7"/>
  <c r="BN10" i="7"/>
  <c r="BO10" i="7"/>
  <c r="C11" i="7"/>
  <c r="D11" i="7"/>
  <c r="E11" i="7"/>
  <c r="F11" i="7"/>
  <c r="H11" i="7"/>
  <c r="J11" i="7"/>
  <c r="K11" i="7"/>
  <c r="M11" i="7"/>
  <c r="N11" i="7"/>
  <c r="O11" i="7"/>
  <c r="Q11" i="7"/>
  <c r="S11" i="7"/>
  <c r="T11" i="7"/>
  <c r="U11" i="7"/>
  <c r="V11" i="7"/>
  <c r="W11" i="7"/>
  <c r="Y11" i="7"/>
  <c r="Z11" i="7"/>
  <c r="AA11" i="7"/>
  <c r="AB11" i="7"/>
  <c r="AD11" i="7"/>
  <c r="AF11" i="7"/>
  <c r="AG11" i="7"/>
  <c r="AI11" i="7"/>
  <c r="AJ11" i="7"/>
  <c r="AK11" i="7"/>
  <c r="AM11" i="7"/>
  <c r="AO11" i="7"/>
  <c r="AP11" i="7"/>
  <c r="AQ11" i="7"/>
  <c r="AR11" i="7"/>
  <c r="AS11" i="7"/>
  <c r="AU11" i="7"/>
  <c r="AV11" i="7"/>
  <c r="AW11" i="7"/>
  <c r="AX11" i="7"/>
  <c r="AZ11" i="7"/>
  <c r="BB11" i="7"/>
  <c r="BC11" i="7"/>
  <c r="BE11" i="7"/>
  <c r="BF11" i="7"/>
  <c r="BG11" i="7"/>
  <c r="BI11" i="7"/>
  <c r="BK11" i="7"/>
  <c r="BL11" i="7"/>
  <c r="BM11" i="7"/>
  <c r="BN11" i="7"/>
  <c r="BO11" i="7"/>
  <c r="C14" i="7"/>
  <c r="D14" i="7"/>
  <c r="E14" i="7"/>
  <c r="F14" i="7"/>
  <c r="H14" i="7"/>
  <c r="J14" i="7"/>
  <c r="K14" i="7"/>
  <c r="M14" i="7"/>
  <c r="N14" i="7"/>
  <c r="O14" i="7"/>
  <c r="Q14" i="7"/>
  <c r="S14" i="7"/>
  <c r="T14" i="7"/>
  <c r="U14" i="7"/>
  <c r="V14" i="7"/>
  <c r="W14" i="7"/>
  <c r="Y14" i="7"/>
  <c r="Z14" i="7"/>
  <c r="AA14" i="7"/>
  <c r="AB14" i="7"/>
  <c r="AD14" i="7"/>
  <c r="AF14" i="7"/>
  <c r="AG14" i="7"/>
  <c r="AI14" i="7"/>
  <c r="AJ14" i="7"/>
  <c r="AK14" i="7"/>
  <c r="AM14" i="7"/>
  <c r="AO14" i="7"/>
  <c r="AP14" i="7"/>
  <c r="AQ14" i="7"/>
  <c r="AR14" i="7"/>
  <c r="AS14" i="7"/>
  <c r="AU14" i="7"/>
  <c r="AV14" i="7"/>
  <c r="AW14" i="7"/>
  <c r="AX14" i="7"/>
  <c r="AZ14" i="7"/>
  <c r="BB14" i="7"/>
  <c r="BC14" i="7"/>
  <c r="BE14" i="7"/>
  <c r="BF14" i="7"/>
  <c r="BG14" i="7"/>
  <c r="BI14" i="7"/>
  <c r="BK14" i="7"/>
  <c r="BL14" i="7"/>
  <c r="BM14" i="7"/>
  <c r="BN14" i="7"/>
  <c r="BO14" i="7"/>
  <c r="C15" i="7"/>
  <c r="D15" i="7"/>
  <c r="E15" i="7"/>
  <c r="F15" i="7"/>
  <c r="H15" i="7"/>
  <c r="J15" i="7"/>
  <c r="K15" i="7"/>
  <c r="M15" i="7"/>
  <c r="N15" i="7"/>
  <c r="O15" i="7"/>
  <c r="Q15" i="7"/>
  <c r="S15" i="7"/>
  <c r="T15" i="7"/>
  <c r="U15" i="7"/>
  <c r="V15" i="7"/>
  <c r="W15" i="7"/>
  <c r="Y15" i="7"/>
  <c r="Z15" i="7"/>
  <c r="AA15" i="7"/>
  <c r="AB15" i="7"/>
  <c r="AD15" i="7"/>
  <c r="AF15" i="7"/>
  <c r="AG15" i="7"/>
  <c r="AI15" i="7"/>
  <c r="AJ15" i="7"/>
  <c r="AK15" i="7"/>
  <c r="AM15" i="7"/>
  <c r="AO15" i="7"/>
  <c r="AP15" i="7"/>
  <c r="AQ15" i="7"/>
  <c r="AR15" i="7"/>
  <c r="AS15" i="7"/>
  <c r="AU15" i="7"/>
  <c r="AV15" i="7"/>
  <c r="AW15" i="7"/>
  <c r="AX15" i="7"/>
  <c r="AZ15" i="7"/>
  <c r="BB15" i="7"/>
  <c r="BC15" i="7"/>
  <c r="BE15" i="7"/>
  <c r="BF15" i="7"/>
  <c r="BG15" i="7"/>
  <c r="BI15" i="7"/>
  <c r="BK15" i="7"/>
  <c r="BL15" i="7"/>
  <c r="BM15" i="7"/>
  <c r="BN15" i="7"/>
  <c r="BO15" i="7"/>
  <c r="C16" i="7"/>
  <c r="D16" i="7"/>
  <c r="E16" i="7"/>
  <c r="F16" i="7"/>
  <c r="H16" i="7"/>
  <c r="J16" i="7"/>
  <c r="K16" i="7"/>
  <c r="M16" i="7"/>
  <c r="N16" i="7"/>
  <c r="O16" i="7"/>
  <c r="Q16" i="7"/>
  <c r="S16" i="7"/>
  <c r="T16" i="7"/>
  <c r="U16" i="7"/>
  <c r="V16" i="7"/>
  <c r="W16" i="7"/>
  <c r="Y16" i="7"/>
  <c r="Z16" i="7"/>
  <c r="AA16" i="7"/>
  <c r="AB16" i="7"/>
  <c r="AD16" i="7"/>
  <c r="AF16" i="7"/>
  <c r="AG16" i="7"/>
  <c r="AI16" i="7"/>
  <c r="AJ16" i="7"/>
  <c r="AK16" i="7"/>
  <c r="AM16" i="7"/>
  <c r="AO16" i="7"/>
  <c r="AP16" i="7"/>
  <c r="AQ16" i="7"/>
  <c r="AR16" i="7"/>
  <c r="AS16" i="7"/>
  <c r="AU16" i="7"/>
  <c r="AV16" i="7"/>
  <c r="AW16" i="7"/>
  <c r="AX16" i="7"/>
  <c r="AZ16" i="7"/>
  <c r="BB16" i="7"/>
  <c r="BC16" i="7"/>
  <c r="BE16" i="7"/>
  <c r="BF16" i="7"/>
  <c r="BG16" i="7"/>
  <c r="BI16" i="7"/>
  <c r="BK16" i="7"/>
  <c r="BL16" i="7"/>
  <c r="BM16" i="7"/>
  <c r="BN16" i="7"/>
  <c r="BO16" i="7"/>
  <c r="C17" i="7"/>
  <c r="D17" i="7"/>
  <c r="E17" i="7"/>
  <c r="F17" i="7"/>
  <c r="H17" i="7"/>
  <c r="J17" i="7"/>
  <c r="K17" i="7"/>
  <c r="M17" i="7"/>
  <c r="N17" i="7"/>
  <c r="O17" i="7"/>
  <c r="Q17" i="7"/>
  <c r="S17" i="7"/>
  <c r="T17" i="7"/>
  <c r="U17" i="7"/>
  <c r="V17" i="7"/>
  <c r="W17" i="7"/>
  <c r="Y17" i="7"/>
  <c r="Z17" i="7"/>
  <c r="AA17" i="7"/>
  <c r="AB17" i="7"/>
  <c r="AD17" i="7"/>
  <c r="AF17" i="7"/>
  <c r="AG17" i="7"/>
  <c r="AI17" i="7"/>
  <c r="AJ17" i="7"/>
  <c r="AK17" i="7"/>
  <c r="AM17" i="7"/>
  <c r="AO17" i="7"/>
  <c r="AP17" i="7"/>
  <c r="AQ17" i="7"/>
  <c r="AR17" i="7"/>
  <c r="AS17" i="7"/>
  <c r="AU17" i="7"/>
  <c r="AV17" i="7"/>
  <c r="AW17" i="7"/>
  <c r="AX17" i="7"/>
  <c r="AZ17" i="7"/>
  <c r="BB17" i="7"/>
  <c r="BC17" i="7"/>
  <c r="BE17" i="7"/>
  <c r="BF17" i="7"/>
  <c r="BG17" i="7"/>
  <c r="BI17" i="7"/>
  <c r="BK17" i="7"/>
  <c r="BL17" i="7"/>
  <c r="BM17" i="7"/>
  <c r="BN17" i="7"/>
  <c r="BO17" i="7"/>
  <c r="C18" i="7"/>
  <c r="D18" i="7"/>
  <c r="E18" i="7"/>
  <c r="F18" i="7"/>
  <c r="H18" i="7"/>
  <c r="J18" i="7"/>
  <c r="K18" i="7"/>
  <c r="M18" i="7"/>
  <c r="N18" i="7"/>
  <c r="O18" i="7"/>
  <c r="Q18" i="7"/>
  <c r="S18" i="7"/>
  <c r="T18" i="7"/>
  <c r="U18" i="7"/>
  <c r="V18" i="7"/>
  <c r="W18" i="7"/>
  <c r="Y18" i="7"/>
  <c r="Z18" i="7"/>
  <c r="AA18" i="7"/>
  <c r="AB18" i="7"/>
  <c r="AD18" i="7"/>
  <c r="AF18" i="7"/>
  <c r="AG18" i="7"/>
  <c r="AI18" i="7"/>
  <c r="AJ18" i="7"/>
  <c r="AK18" i="7"/>
  <c r="AM18" i="7"/>
  <c r="AO18" i="7"/>
  <c r="AP18" i="7"/>
  <c r="AQ18" i="7"/>
  <c r="AR18" i="7"/>
  <c r="AS18" i="7"/>
  <c r="AU18" i="7"/>
  <c r="AV18" i="7"/>
  <c r="AW18" i="7"/>
  <c r="AX18" i="7"/>
  <c r="AZ18" i="7"/>
  <c r="BB18" i="7"/>
  <c r="BC18" i="7"/>
  <c r="BE18" i="7"/>
  <c r="BF18" i="7"/>
  <c r="BG18" i="7"/>
  <c r="BI18" i="7"/>
  <c r="BK18" i="7"/>
  <c r="BL18" i="7"/>
  <c r="BM18" i="7"/>
  <c r="BN18" i="7"/>
  <c r="BO18" i="7"/>
  <c r="C19" i="7"/>
  <c r="D19" i="7"/>
  <c r="E19" i="7"/>
  <c r="F19" i="7"/>
  <c r="H19" i="7"/>
  <c r="J19" i="7"/>
  <c r="K19" i="7"/>
  <c r="M19" i="7"/>
  <c r="N19" i="7"/>
  <c r="O19" i="7"/>
  <c r="Q19" i="7"/>
  <c r="S19" i="7"/>
  <c r="T19" i="7"/>
  <c r="U19" i="7"/>
  <c r="V19" i="7"/>
  <c r="W19" i="7"/>
  <c r="Y19" i="7"/>
  <c r="Z19" i="7"/>
  <c r="AA19" i="7"/>
  <c r="AB19" i="7"/>
  <c r="AD19" i="7"/>
  <c r="AF19" i="7"/>
  <c r="AG19" i="7"/>
  <c r="AI19" i="7"/>
  <c r="AJ19" i="7"/>
  <c r="AK19" i="7"/>
  <c r="AM19" i="7"/>
  <c r="AO19" i="7"/>
  <c r="AP19" i="7"/>
  <c r="AQ19" i="7"/>
  <c r="AR19" i="7"/>
  <c r="AS19" i="7"/>
  <c r="AU19" i="7"/>
  <c r="AV19" i="7"/>
  <c r="AW19" i="7"/>
  <c r="AX19" i="7"/>
  <c r="AZ19" i="7"/>
  <c r="BB19" i="7"/>
  <c r="BC19" i="7"/>
  <c r="BE19" i="7"/>
  <c r="BF19" i="7"/>
  <c r="BG19" i="7"/>
  <c r="BI19" i="7"/>
  <c r="BK19" i="7"/>
  <c r="BL19" i="7"/>
  <c r="BM19" i="7"/>
  <c r="BN19" i="7"/>
  <c r="BO19" i="7"/>
  <c r="C20" i="7"/>
  <c r="D20" i="7"/>
  <c r="E20" i="7"/>
  <c r="F20" i="7"/>
  <c r="H20" i="7"/>
  <c r="J20" i="7"/>
  <c r="K20" i="7"/>
  <c r="M20" i="7"/>
  <c r="N20" i="7"/>
  <c r="O20" i="7"/>
  <c r="Q20" i="7"/>
  <c r="S20" i="7"/>
  <c r="T20" i="7"/>
  <c r="U20" i="7"/>
  <c r="V20" i="7"/>
  <c r="W20" i="7"/>
  <c r="Y20" i="7"/>
  <c r="Z20" i="7"/>
  <c r="AA20" i="7"/>
  <c r="AB20" i="7"/>
  <c r="AD20" i="7"/>
  <c r="AF20" i="7"/>
  <c r="AG20" i="7"/>
  <c r="AI20" i="7"/>
  <c r="AJ20" i="7"/>
  <c r="AK20" i="7"/>
  <c r="AM20" i="7"/>
  <c r="AO20" i="7"/>
  <c r="AP20" i="7"/>
  <c r="AQ20" i="7"/>
  <c r="AR20" i="7"/>
  <c r="AS20" i="7"/>
  <c r="AU20" i="7"/>
  <c r="AV20" i="7"/>
  <c r="AW20" i="7"/>
  <c r="AX20" i="7"/>
  <c r="AZ20" i="7"/>
  <c r="BB20" i="7"/>
  <c r="BC20" i="7"/>
  <c r="BE20" i="7"/>
  <c r="BF20" i="7"/>
  <c r="BG20" i="7"/>
  <c r="BI20" i="7"/>
  <c r="BK20" i="7"/>
  <c r="BL20" i="7"/>
  <c r="BM20" i="7"/>
  <c r="BN20" i="7"/>
  <c r="BO20" i="7"/>
  <c r="C21" i="7"/>
  <c r="D21" i="7"/>
  <c r="E21" i="7"/>
  <c r="F21" i="7"/>
  <c r="H21" i="7"/>
  <c r="J21" i="7"/>
  <c r="K21" i="7"/>
  <c r="M21" i="7"/>
  <c r="N21" i="7"/>
  <c r="O21" i="7"/>
  <c r="Q21" i="7"/>
  <c r="S21" i="7"/>
  <c r="T21" i="7"/>
  <c r="U21" i="7"/>
  <c r="V21" i="7"/>
  <c r="W21" i="7"/>
  <c r="Y21" i="7"/>
  <c r="Z21" i="7"/>
  <c r="AA21" i="7"/>
  <c r="AB21" i="7"/>
  <c r="AD21" i="7"/>
  <c r="AF21" i="7"/>
  <c r="AG21" i="7"/>
  <c r="AI21" i="7"/>
  <c r="AJ21" i="7"/>
  <c r="AK21" i="7"/>
  <c r="AM21" i="7"/>
  <c r="AO21" i="7"/>
  <c r="AP21" i="7"/>
  <c r="AQ21" i="7"/>
  <c r="AR21" i="7"/>
  <c r="AS21" i="7"/>
  <c r="AU21" i="7"/>
  <c r="AV21" i="7"/>
  <c r="AW21" i="7"/>
  <c r="AX21" i="7"/>
  <c r="AZ21" i="7"/>
  <c r="BB21" i="7"/>
  <c r="BC21" i="7"/>
  <c r="BE21" i="7"/>
  <c r="BF21" i="7"/>
  <c r="BG21" i="7"/>
  <c r="BI21" i="7"/>
  <c r="BK21" i="7"/>
  <c r="BL21" i="7"/>
  <c r="BM21" i="7"/>
  <c r="BN21" i="7"/>
  <c r="BO2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Sutej:</t>
        </r>
        <r>
          <rPr>
            <sz val="9"/>
            <color indexed="81"/>
            <rFont val="Tahoma"/>
            <family val="2"/>
          </rPr>
          <t xml:space="preserve">
For 2MHz operation and t_minON=60ns set 
Max VIN=10V for 1.3V Output
Max VIN=27V for 3.3V Output
Max VIN=36V for 5V Output</t>
        </r>
      </text>
    </comment>
    <comment ref="C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Sutej:</t>
        </r>
        <r>
          <rPr>
            <sz val="9"/>
            <color indexed="81"/>
            <rFont val="Tahoma"/>
            <family val="2"/>
          </rPr>
          <t xml:space="preserve">
Typical Vout is set to be Vload at 0A load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1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calculated value at 2.2MHz</t>
        </r>
      </text>
    </comment>
  </commentList>
</comments>
</file>

<file path=xl/sharedStrings.xml><?xml version="1.0" encoding="utf-8"?>
<sst xmlns="http://schemas.openxmlformats.org/spreadsheetml/2006/main" count="819" uniqueCount="331">
  <si>
    <t>INSTRUCTIONS:   Enter design goals and component values in the white boxes.</t>
  </si>
  <si>
    <t>VARIABLES</t>
  </si>
  <si>
    <t>MIN</t>
  </si>
  <si>
    <t>TYP</t>
  </si>
  <si>
    <t>MAX</t>
  </si>
  <si>
    <t>UNITS</t>
  </si>
  <si>
    <t>COMMENTS</t>
  </si>
  <si>
    <t>Vin</t>
  </si>
  <si>
    <t>V</t>
  </si>
  <si>
    <t>Vout, target</t>
  </si>
  <si>
    <t>-</t>
  </si>
  <si>
    <t>Output voltage at Iout</t>
  </si>
  <si>
    <r>
      <t>Iout</t>
    </r>
    <r>
      <rPr>
        <b/>
        <vertAlign val="subscript"/>
        <sz val="11"/>
        <color indexed="8"/>
        <rFont val="Calibri"/>
        <family val="2"/>
      </rPr>
      <t>MAX</t>
    </r>
  </si>
  <si>
    <t>‒</t>
  </si>
  <si>
    <r>
      <t>A</t>
    </r>
    <r>
      <rPr>
        <vertAlign val="subscript"/>
        <sz val="11"/>
        <color indexed="8"/>
        <rFont val="Calibri"/>
        <family val="2"/>
      </rPr>
      <t>DC</t>
    </r>
  </si>
  <si>
    <t>Desired maximum output current</t>
  </si>
  <si>
    <r>
      <rPr>
        <b/>
        <sz val="11"/>
        <color indexed="8"/>
        <rFont val="Calibri"/>
        <family val="2"/>
      </rPr>
      <t>Δ</t>
    </r>
    <r>
      <rPr>
        <b/>
        <sz val="11"/>
        <color indexed="8"/>
        <rFont val="Calibri"/>
        <family val="2"/>
      </rPr>
      <t>ILo, target</t>
    </r>
  </si>
  <si>
    <r>
      <t>% of Iout</t>
    </r>
    <r>
      <rPr>
        <vertAlign val="subscript"/>
        <sz val="11"/>
        <color indexed="8"/>
        <rFont val="Calibri"/>
        <family val="2"/>
      </rPr>
      <t>MAX</t>
    </r>
  </si>
  <si>
    <t>Used to calculate Lo at typical Vin, Vout</t>
  </si>
  <si>
    <t>RFB1_tolerance</t>
  </si>
  <si>
    <t>%</t>
  </si>
  <si>
    <r>
      <t>1% initial tolerance + 100ppm @ 60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C rise</t>
    </r>
  </si>
  <si>
    <t>RFB2_tolerance</t>
  </si>
  <si>
    <t>Lo_tolerance</t>
  </si>
  <si>
    <t>Output inductor tolerances</t>
  </si>
  <si>
    <t>SS time, target</t>
  </si>
  <si>
    <t>ms</t>
  </si>
  <si>
    <t>Approximate soft start time (Vout ramp)</t>
  </si>
  <si>
    <r>
      <t>RTH</t>
    </r>
    <r>
      <rPr>
        <b/>
        <vertAlign val="subscript"/>
        <sz val="11"/>
        <color theme="1"/>
        <rFont val="Calibri"/>
        <family val="2"/>
        <scheme val="minor"/>
      </rPr>
      <t>JA</t>
    </r>
  </si>
  <si>
    <r>
      <rPr>
        <sz val="11"/>
        <color indexed="8"/>
        <rFont val="Calibri"/>
        <family val="2"/>
      </rPr>
      <t>°</t>
    </r>
    <r>
      <rPr>
        <sz val="11"/>
        <color theme="1"/>
        <rFont val="Calibri"/>
        <family val="2"/>
        <scheme val="minor"/>
      </rPr>
      <t>C/W</t>
    </r>
  </si>
  <si>
    <t>Thermal resistance</t>
  </si>
  <si>
    <r>
      <t>T</t>
    </r>
    <r>
      <rPr>
        <b/>
        <vertAlign val="subscript"/>
        <sz val="11"/>
        <color indexed="8"/>
        <rFont val="Calibri"/>
        <family val="2"/>
      </rPr>
      <t>AMB</t>
    </r>
  </si>
  <si>
    <r>
      <rPr>
        <sz val="11"/>
        <color indexed="8"/>
        <rFont val="Calibri"/>
        <family val="2"/>
      </rPr>
      <t>°</t>
    </r>
    <r>
      <rPr>
        <sz val="11"/>
        <color theme="1"/>
        <rFont val="Calibri"/>
        <family val="2"/>
        <scheme val="minor"/>
      </rPr>
      <t>C</t>
    </r>
  </si>
  <si>
    <t>Maximum steady-state ambient temperature</t>
  </si>
  <si>
    <r>
      <rPr>
        <i/>
        <sz val="11"/>
        <color theme="0"/>
        <rFont val="Calibri"/>
        <family val="2"/>
      </rPr>
      <t xml:space="preserve">**** Note:  The applications schematic is shown at the bottom of this TAB. ****
Schematic component values are shown in </t>
    </r>
    <r>
      <rPr>
        <b/>
        <i/>
        <sz val="11"/>
        <color rgb="FF0000FF"/>
        <rFont val="Calibri"/>
        <family val="2"/>
      </rPr>
      <t>BLUE</t>
    </r>
    <r>
      <rPr>
        <b/>
        <i/>
        <sz val="11"/>
        <color theme="1"/>
        <rFont val="Calibri"/>
        <family val="2"/>
      </rPr>
      <t>.</t>
    </r>
  </si>
  <si>
    <t>COMPONENT</t>
  </si>
  <si>
    <t>VALUE</t>
  </si>
  <si>
    <r>
      <t xml:space="preserve"> Feedback Component Calculations  </t>
    </r>
    <r>
      <rPr>
        <b/>
        <i/>
        <sz val="12"/>
        <color rgb="FFFF0000"/>
        <rFont val="Calibri"/>
        <family val="2"/>
        <scheme val="minor"/>
      </rPr>
      <t xml:space="preserve">(Must enter </t>
    </r>
    <r>
      <rPr>
        <b/>
        <i/>
        <sz val="12"/>
        <color rgb="FF0000FF"/>
        <rFont val="Calibri"/>
        <family val="2"/>
        <scheme val="minor"/>
      </rPr>
      <t>RFB1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>and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rgb="FF0000FF"/>
        <rFont val="Calibri"/>
        <family val="2"/>
        <scheme val="minor"/>
      </rPr>
      <t>RFB2</t>
    </r>
    <r>
      <rPr>
        <b/>
        <i/>
        <sz val="12"/>
        <color rgb="FFFF0000"/>
        <rFont val="Calibri"/>
        <family val="2"/>
        <scheme val="minor"/>
      </rPr>
      <t xml:space="preserve"> values for the remaining calculations to be accurate)</t>
    </r>
  </si>
  <si>
    <t>RFB1_calc</t>
  </si>
  <si>
    <r>
      <t>K</t>
    </r>
    <r>
      <rPr>
        <sz val="11"/>
        <color indexed="8"/>
        <rFont val="Calibri"/>
        <family val="2"/>
      </rPr>
      <t>Ω</t>
    </r>
  </si>
  <si>
    <t xml:space="preserve">RFB1 = </t>
  </si>
  <si>
    <r>
      <t>K</t>
    </r>
    <r>
      <rPr>
        <b/>
        <sz val="11"/>
        <color rgb="FF0000FF"/>
        <rFont val="Calibri"/>
        <family val="2"/>
      </rPr>
      <t>Ω</t>
    </r>
  </si>
  <si>
    <t>RFB2_calc</t>
  </si>
  <si>
    <t>RFB2 =</t>
  </si>
  <si>
    <t xml:space="preserve"> Typical Output Voltage Calculations:</t>
  </si>
  <si>
    <r>
      <t>Vout</t>
    </r>
    <r>
      <rPr>
        <sz val="11"/>
        <color theme="1"/>
        <rFont val="Calibri"/>
        <family val="2"/>
        <scheme val="minor"/>
      </rPr>
      <t xml:space="preserve">  (min</t>
    </r>
    <r>
      <rPr>
        <sz val="11"/>
        <color theme="1"/>
        <rFont val="Calibri"/>
        <family val="2"/>
      </rPr>
      <t>|</t>
    </r>
    <r>
      <rPr>
        <sz val="11"/>
        <color theme="1"/>
        <rFont val="Calibri"/>
        <family val="2"/>
        <scheme val="minor"/>
      </rPr>
      <t>typ</t>
    </r>
    <r>
      <rPr>
        <sz val="11"/>
        <color theme="1"/>
        <rFont val="Calibri"/>
        <family val="2"/>
      </rPr>
      <t>|</t>
    </r>
    <r>
      <rPr>
        <sz val="11"/>
        <color theme="1"/>
        <rFont val="Calibri"/>
        <family val="2"/>
        <scheme val="minor"/>
      </rPr>
      <t>max)</t>
    </r>
  </si>
  <si>
    <t>Includes worst case IC &amp; component variations vs. temperature</t>
  </si>
  <si>
    <t>System Duty Cycle</t>
  </si>
  <si>
    <t>Range of system duty-cycles given Vin, Vout, Iout, etc</t>
  </si>
  <si>
    <t xml:space="preserve"> Switching Frequency Determination:</t>
  </si>
  <si>
    <t>Fsw_max</t>
  </si>
  <si>
    <t>MHz</t>
  </si>
  <si>
    <t>Recommended maximum PWM frequency, before possible pulse skipping</t>
  </si>
  <si>
    <t xml:space="preserve">Fsw = </t>
  </si>
  <si>
    <t>Choose Fsw</t>
  </si>
  <si>
    <r>
      <t>R</t>
    </r>
    <r>
      <rPr>
        <b/>
        <vertAlign val="subscript"/>
        <sz val="11"/>
        <color rgb="FF0000FF"/>
        <rFont val="Calibri"/>
        <family val="2"/>
        <scheme val="minor"/>
      </rPr>
      <t>FSET</t>
    </r>
  </si>
  <si>
    <t>Use the closest available 1% standard resister value</t>
  </si>
  <si>
    <r>
      <t>Duty Cycle</t>
    </r>
    <r>
      <rPr>
        <b/>
        <vertAlign val="subscript"/>
        <sz val="11"/>
        <color theme="1"/>
        <rFont val="Calibri"/>
        <family val="2"/>
        <scheme val="minor"/>
      </rPr>
      <t>MIN</t>
    </r>
  </si>
  <si>
    <r>
      <t>(TYP | MAX) Minimum duty cycles at the chosen Fsw given t</t>
    </r>
    <r>
      <rPr>
        <vertAlign val="subscript"/>
        <sz val="11"/>
        <color theme="1"/>
        <rFont val="Calibri"/>
        <family val="2"/>
        <scheme val="minor"/>
      </rPr>
      <t>ON,TYP</t>
    </r>
    <r>
      <rPr>
        <sz val="11"/>
        <color theme="1"/>
        <rFont val="Calibri"/>
        <family val="2"/>
        <scheme val="minor"/>
      </rPr>
      <t>, t</t>
    </r>
    <r>
      <rPr>
        <vertAlign val="subscript"/>
        <sz val="11"/>
        <color theme="1"/>
        <rFont val="Calibri"/>
        <family val="2"/>
        <scheme val="minor"/>
      </rPr>
      <t>ON,MAX</t>
    </r>
  </si>
  <si>
    <r>
      <t>Duty Cycle</t>
    </r>
    <r>
      <rPr>
        <b/>
        <vertAlign val="subscript"/>
        <sz val="11"/>
        <color theme="1"/>
        <rFont val="Calibri"/>
        <family val="2"/>
        <scheme val="minor"/>
      </rPr>
      <t>MAX</t>
    </r>
  </si>
  <si>
    <r>
      <t>(MIN | TYP) Maximum duty cycles at the chosen Fsw given t</t>
    </r>
    <r>
      <rPr>
        <vertAlign val="subscript"/>
        <sz val="11"/>
        <color theme="1"/>
        <rFont val="Calibri"/>
        <family val="2"/>
        <scheme val="minor"/>
      </rPr>
      <t>OFF,TYP</t>
    </r>
    <r>
      <rPr>
        <sz val="11"/>
        <color theme="1"/>
        <rFont val="Calibri"/>
        <family val="2"/>
        <scheme val="minor"/>
      </rPr>
      <t>, t</t>
    </r>
    <r>
      <rPr>
        <vertAlign val="subscript"/>
        <sz val="11"/>
        <color theme="1"/>
        <rFont val="Calibri"/>
        <family val="2"/>
        <scheme val="minor"/>
      </rPr>
      <t>OFF,MAX</t>
    </r>
  </si>
  <si>
    <r>
      <t>SYNC</t>
    </r>
    <r>
      <rPr>
        <b/>
        <vertAlign val="subscript"/>
        <sz val="11"/>
        <color theme="1"/>
        <rFont val="Calibri"/>
        <family val="2"/>
        <scheme val="minor"/>
      </rPr>
      <t>MAX</t>
    </r>
    <r>
      <rPr>
        <b/>
        <sz val="11"/>
        <color theme="1"/>
        <rFont val="Calibri"/>
        <family val="2"/>
        <scheme val="minor"/>
      </rPr>
      <t xml:space="preserve"> at Vin</t>
    </r>
    <r>
      <rPr>
        <b/>
        <vertAlign val="subscript"/>
        <sz val="11"/>
        <color theme="1"/>
        <rFont val="Calibri"/>
        <family val="2"/>
        <scheme val="minor"/>
      </rPr>
      <t>TYP</t>
    </r>
  </si>
  <si>
    <t>Datasheet value</t>
  </si>
  <si>
    <t xml:space="preserve"> Output Inductor Calculations:</t>
  </si>
  <si>
    <t>Lo (min | max)</t>
  </si>
  <si>
    <r>
      <rPr>
        <sz val="11"/>
        <color indexed="8"/>
        <rFont val="Calibri"/>
        <family val="2"/>
      </rPr>
      <t>µ</t>
    </r>
    <r>
      <rPr>
        <sz val="11"/>
        <color theme="1"/>
        <rFont val="Calibri"/>
        <family val="2"/>
        <scheme val="minor"/>
      </rPr>
      <t>H</t>
    </r>
  </si>
  <si>
    <r>
      <t>Inductor range, S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 40% to 110% of inductor down slope</t>
    </r>
  </si>
  <si>
    <t>Lo ≥</t>
  </si>
  <si>
    <t>Inductor value for selected ripple current</t>
  </si>
  <si>
    <r>
      <t>L</t>
    </r>
    <r>
      <rPr>
        <b/>
        <vertAlign val="subscript"/>
        <sz val="11"/>
        <color rgb="FF0000FF"/>
        <rFont val="Calibri"/>
        <family val="2"/>
        <scheme val="minor"/>
      </rPr>
      <t>O</t>
    </r>
    <r>
      <rPr>
        <b/>
        <sz val="11"/>
        <color rgb="FF0000FF"/>
        <rFont val="Calibri"/>
        <family val="2"/>
        <scheme val="minor"/>
      </rPr>
      <t xml:space="preserve"> = </t>
    </r>
  </si>
  <si>
    <r>
      <rPr>
        <b/>
        <sz val="11"/>
        <color rgb="FF0000FF"/>
        <rFont val="Calibri"/>
        <family val="2"/>
      </rPr>
      <t>µ</t>
    </r>
    <r>
      <rPr>
        <b/>
        <sz val="11"/>
        <color rgb="FF0000FF"/>
        <rFont val="Calibri"/>
        <family val="2"/>
        <scheme val="minor"/>
      </rPr>
      <t>H</t>
    </r>
  </si>
  <si>
    <t>Enter Lo considering the recommended range &amp; value</t>
  </si>
  <si>
    <r>
      <t>Lo</t>
    </r>
    <r>
      <rPr>
        <b/>
        <vertAlign val="subscript"/>
        <sz val="11"/>
        <rFont val="Calibri"/>
        <family val="2"/>
        <scheme val="minor"/>
      </rPr>
      <t>DCR</t>
    </r>
    <r>
      <rPr>
        <b/>
        <sz val="11"/>
        <rFont val="Calibri"/>
        <family val="2"/>
        <scheme val="minor"/>
      </rPr>
      <t xml:space="preserve"> = </t>
    </r>
  </si>
  <si>
    <r>
      <t>m</t>
    </r>
    <r>
      <rPr>
        <b/>
        <sz val="11"/>
        <rFont val="Calibri"/>
        <family val="2"/>
      </rPr>
      <t>Ω</t>
    </r>
  </si>
  <si>
    <r>
      <t>Enter the output inductor's DCR, default is 10m</t>
    </r>
    <r>
      <rPr>
        <sz val="11"/>
        <rFont val="Calibri"/>
        <family val="2"/>
      </rPr>
      <t>Ω if left blank</t>
    </r>
  </si>
  <si>
    <r>
      <rPr>
        <b/>
        <sz val="11"/>
        <color indexed="8"/>
        <rFont val="Calibri"/>
        <family val="2"/>
      </rPr>
      <t>Δ</t>
    </r>
    <r>
      <rPr>
        <b/>
        <sz val="11"/>
        <color indexed="8"/>
        <rFont val="Calibri"/>
        <family val="2"/>
      </rPr>
      <t>ILo_typ</t>
    </r>
  </si>
  <si>
    <r>
      <t>A</t>
    </r>
    <r>
      <rPr>
        <vertAlign val="subscript"/>
        <sz val="11"/>
        <color indexed="8"/>
        <rFont val="Calibri"/>
        <family val="2"/>
      </rPr>
      <t>PP</t>
    </r>
  </si>
  <si>
    <t>Typical output inductor ripple current</t>
  </si>
  <si>
    <r>
      <rPr>
        <b/>
        <sz val="11"/>
        <color indexed="8"/>
        <rFont val="Calibri"/>
        <family val="2"/>
      </rPr>
      <t>Δ</t>
    </r>
    <r>
      <rPr>
        <b/>
        <sz val="11"/>
        <color indexed="8"/>
        <rFont val="Calibri"/>
        <family val="2"/>
      </rPr>
      <t>ILo_max</t>
    </r>
  </si>
  <si>
    <t>Worst case maximum inductor ripple current</t>
  </si>
  <si>
    <t>Lo_I_max</t>
  </si>
  <si>
    <r>
      <t>A</t>
    </r>
    <r>
      <rPr>
        <vertAlign val="subscript"/>
        <sz val="11"/>
        <color indexed="8"/>
        <rFont val="Calibri"/>
        <family val="2"/>
      </rPr>
      <t>PEAK</t>
    </r>
  </si>
  <si>
    <r>
      <t>Inductor's I</t>
    </r>
    <r>
      <rPr>
        <vertAlign val="subscript"/>
        <sz val="11"/>
        <color theme="1"/>
        <rFont val="Calibri"/>
        <family val="2"/>
        <scheme val="minor"/>
      </rPr>
      <t>SAT</t>
    </r>
    <r>
      <rPr>
        <sz val="11"/>
        <color theme="1"/>
        <rFont val="Calibri"/>
        <family val="2"/>
        <scheme val="minor"/>
      </rPr>
      <t xml:space="preserve"> should support this value</t>
    </r>
  </si>
  <si>
    <r>
      <t>V</t>
    </r>
    <r>
      <rPr>
        <b/>
        <vertAlign val="subscript"/>
        <sz val="11"/>
        <color theme="1"/>
        <rFont val="Calibri"/>
        <family val="2"/>
        <scheme val="minor"/>
      </rPr>
      <t>IN,TYP</t>
    </r>
    <r>
      <rPr>
        <b/>
        <sz val="11"/>
        <color theme="1"/>
        <rFont val="Calibri"/>
        <family val="2"/>
        <scheme val="minor"/>
      </rPr>
      <t xml:space="preserve"> ILIM</t>
    </r>
    <r>
      <rPr>
        <b/>
        <vertAlign val="subscript"/>
        <sz val="11"/>
        <color theme="1"/>
        <rFont val="Calibri"/>
        <family val="2"/>
        <scheme val="minor"/>
      </rPr>
      <t>MARGIN</t>
    </r>
  </si>
  <si>
    <t>A</t>
  </si>
  <si>
    <r>
      <t>V</t>
    </r>
    <r>
      <rPr>
        <b/>
        <vertAlign val="subscript"/>
        <sz val="11"/>
        <color theme="1"/>
        <rFont val="Calibri"/>
        <family val="2"/>
        <scheme val="minor"/>
      </rPr>
      <t>IN,MIN</t>
    </r>
    <r>
      <rPr>
        <b/>
        <sz val="11"/>
        <color theme="1"/>
        <rFont val="Calibri"/>
        <family val="2"/>
        <scheme val="minor"/>
      </rPr>
      <t xml:space="preserve"> ILIM</t>
    </r>
    <r>
      <rPr>
        <b/>
        <vertAlign val="subscript"/>
        <sz val="11"/>
        <color theme="1"/>
        <rFont val="Calibri"/>
        <family val="2"/>
        <scheme val="minor"/>
      </rPr>
      <t>MARGIN</t>
    </r>
  </si>
  <si>
    <t>Optional: Output Capacitors</t>
  </si>
  <si>
    <t xml:space="preserve"> Output Capacitor and Output Voltage Ripple:</t>
  </si>
  <si>
    <t>Enter Values Manually</t>
  </si>
  <si>
    <t>Transient current =</t>
  </si>
  <si>
    <r>
      <t>Transient step current as a percent of Iout</t>
    </r>
    <r>
      <rPr>
        <vertAlign val="subscript"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>, recommend starting with 50%</t>
    </r>
  </si>
  <si>
    <t>Used to calculate output ripple and set the compensation values</t>
  </si>
  <si>
    <t>Co_num_est</t>
  </si>
  <si>
    <t>pieces</t>
  </si>
  <si>
    <t>Estimated number of 10uF/16V/X7R/1206 output capacitors required</t>
  </si>
  <si>
    <t>Co_num_actual =</t>
  </si>
  <si>
    <r>
      <t xml:space="preserve">Choose the number of </t>
    </r>
    <r>
      <rPr>
        <b/>
        <sz val="11"/>
        <color rgb="FF0000FF"/>
        <rFont val="Calibri"/>
        <family val="2"/>
        <scheme val="minor"/>
      </rPr>
      <t>10uF/16V/X7R/1206</t>
    </r>
    <r>
      <rPr>
        <sz val="11"/>
        <color theme="1"/>
        <rFont val="Calibri"/>
        <family val="2"/>
        <scheme val="minor"/>
      </rPr>
      <t xml:space="preserve"> output capacitors</t>
    </r>
  </si>
  <si>
    <t>C =</t>
  </si>
  <si>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F</t>
    </r>
  </si>
  <si>
    <t>Co_tot_min</t>
  </si>
  <si>
    <r>
      <rPr>
        <sz val="11"/>
        <color indexed="8"/>
        <rFont val="Calibri"/>
        <family val="2"/>
      </rPr>
      <t>µ</t>
    </r>
    <r>
      <rPr>
        <sz val="11"/>
        <color theme="1"/>
        <rFont val="Calibri"/>
        <family val="2"/>
        <scheme val="minor"/>
      </rPr>
      <t>F</t>
    </r>
  </si>
  <si>
    <t>Calculated total output capacitance with tolerance and real DC bias</t>
  </si>
  <si>
    <t>ESR =</t>
  </si>
  <si>
    <r>
      <t>m</t>
    </r>
    <r>
      <rPr>
        <sz val="11"/>
        <color theme="1"/>
        <rFont val="Calibri"/>
        <family val="2"/>
      </rPr>
      <t>Ω</t>
    </r>
  </si>
  <si>
    <r>
      <rPr>
        <b/>
        <sz val="11"/>
        <color theme="1"/>
        <rFont val="Calibri"/>
        <family val="2"/>
      </rPr>
      <t>Δ</t>
    </r>
    <r>
      <rPr>
        <b/>
        <sz val="11"/>
        <color theme="1"/>
        <rFont val="Calibri"/>
        <family val="2"/>
        <scheme val="minor"/>
      </rPr>
      <t>Vout</t>
    </r>
  </si>
  <si>
    <r>
      <t>mV</t>
    </r>
    <r>
      <rPr>
        <vertAlign val="subscript"/>
        <sz val="11"/>
        <color theme="1"/>
        <rFont val="Calibri"/>
        <family val="2"/>
        <scheme val="minor"/>
      </rPr>
      <t>PP</t>
    </r>
  </si>
  <si>
    <t>Estimated typical output voltage ripple</t>
  </si>
  <si>
    <t>ESL =</t>
  </si>
  <si>
    <t>nH</t>
  </si>
  <si>
    <r>
      <rPr>
        <b/>
        <sz val="11"/>
        <color theme="1"/>
        <rFont val="Calibri"/>
        <family val="2"/>
      </rPr>
      <t>Δ</t>
    </r>
    <r>
      <rPr>
        <b/>
        <sz val="11"/>
        <color theme="1"/>
        <rFont val="Calibri"/>
        <family val="2"/>
        <scheme val="minor"/>
      </rPr>
      <t>vout_dev_down</t>
    </r>
  </si>
  <si>
    <t>mV</t>
  </si>
  <si>
    <t xml:space="preserve">Estimated output voltage deviation when load transient is upward </t>
  </si>
  <si>
    <t>No. =</t>
  </si>
  <si>
    <r>
      <rPr>
        <b/>
        <sz val="11"/>
        <color theme="1"/>
        <rFont val="Calibri"/>
        <family val="2"/>
      </rPr>
      <t>Δ</t>
    </r>
    <r>
      <rPr>
        <b/>
        <sz val="11"/>
        <color theme="1"/>
        <rFont val="Calibri"/>
        <family val="2"/>
        <scheme val="minor"/>
      </rPr>
      <t>vout_dev_up</t>
    </r>
  </si>
  <si>
    <t xml:space="preserve">Estimated output voltage deviation when load transient is downward </t>
  </si>
  <si>
    <t xml:space="preserve"> Input Capacitor Requirements:</t>
  </si>
  <si>
    <t>Cin_min</t>
  </si>
  <si>
    <r>
      <rPr>
        <b/>
        <sz val="11"/>
        <color rgb="FF0000FF"/>
        <rFont val="Calibri"/>
        <family val="2"/>
      </rPr>
      <t>µ</t>
    </r>
    <r>
      <rPr>
        <b/>
        <sz val="11"/>
        <color rgb="FF0000FF"/>
        <rFont val="Calibri"/>
        <family val="2"/>
        <scheme val="minor"/>
      </rPr>
      <t>F</t>
    </r>
  </si>
  <si>
    <t>Recommended minimum input capacitance including DC bias</t>
  </si>
  <si>
    <r>
      <t>Cin_I</t>
    </r>
    <r>
      <rPr>
        <b/>
        <vertAlign val="subscript"/>
        <sz val="11"/>
        <color theme="1"/>
        <rFont val="Calibri"/>
        <family val="2"/>
        <scheme val="minor"/>
      </rPr>
      <t>RMS</t>
    </r>
  </si>
  <si>
    <r>
      <t>A</t>
    </r>
    <r>
      <rPr>
        <vertAlign val="subscript"/>
        <sz val="11"/>
        <color indexed="8"/>
        <rFont val="Calibri"/>
        <family val="2"/>
      </rPr>
      <t>RMS</t>
    </r>
  </si>
  <si>
    <t>Input capacitance RMS current requirement</t>
  </si>
  <si>
    <t xml:space="preserve"> Soft Start Capacitor and Timing:</t>
  </si>
  <si>
    <t>C_SS_min</t>
  </si>
  <si>
    <t>nF</t>
  </si>
  <si>
    <t>Recommended minimum soft-start capacitor</t>
  </si>
  <si>
    <t xml:space="preserve">C_SS = </t>
  </si>
  <si>
    <r>
      <t xml:space="preserve">Choose C_SS considering </t>
    </r>
    <r>
      <rPr>
        <sz val="11"/>
        <color indexed="8"/>
        <rFont val="Calibri"/>
        <family val="2"/>
      </rPr>
      <t>C_SS_min</t>
    </r>
    <r>
      <rPr>
        <sz val="11"/>
        <color theme="1"/>
        <rFont val="Calibri"/>
        <family val="2"/>
        <scheme val="minor"/>
      </rPr>
      <t>, use next higher standard value</t>
    </r>
  </si>
  <si>
    <t>t_ss_typ</t>
  </si>
  <si>
    <t>Typical soft-start ramp time using actual C_SS</t>
  </si>
  <si>
    <t>SS_delay_typ</t>
  </si>
  <si>
    <r>
      <t>Typical delay from EN</t>
    </r>
    <r>
      <rPr>
        <sz val="11"/>
        <color indexed="8"/>
        <rFont val="Calibri"/>
        <family val="2"/>
      </rPr>
      <t>↑</t>
    </r>
    <r>
      <rPr>
        <sz val="11"/>
        <color theme="1"/>
        <rFont val="Calibri"/>
        <family val="2"/>
        <scheme val="minor"/>
      </rPr>
      <t xml:space="preserve"> to when LX begins switching and Vout rises</t>
    </r>
  </si>
  <si>
    <t xml:space="preserve"> Compensation Components:</t>
  </si>
  <si>
    <r>
      <t>fc</t>
    </r>
    <r>
      <rPr>
        <b/>
        <vertAlign val="subscript"/>
        <sz val="11"/>
        <color indexed="8"/>
        <rFont val="Calibri"/>
        <family val="2"/>
      </rPr>
      <t>MAX</t>
    </r>
  </si>
  <si>
    <t>KHz</t>
  </si>
  <si>
    <t>Recommended maximum 0dB crossover frequency</t>
  </si>
  <si>
    <t>fc =</t>
  </si>
  <si>
    <r>
      <t xml:space="preserve">Choose fc considering recommended </t>
    </r>
    <r>
      <rPr>
        <sz val="11"/>
        <color indexed="8"/>
        <rFont val="Calibri"/>
        <family val="2"/>
      </rPr>
      <t>fc</t>
    </r>
    <r>
      <rPr>
        <vertAlign val="subscript"/>
        <sz val="11"/>
        <color indexed="8"/>
        <rFont val="Calibri"/>
        <family val="2"/>
      </rPr>
      <t>MAX</t>
    </r>
  </si>
  <si>
    <r>
      <t>R_LOAD</t>
    </r>
    <r>
      <rPr>
        <b/>
        <vertAlign val="subscript"/>
        <sz val="11"/>
        <color indexed="8"/>
        <rFont val="Calibri"/>
        <family val="2"/>
      </rPr>
      <t>TYP</t>
    </r>
  </si>
  <si>
    <t>Ω</t>
  </si>
  <si>
    <r>
      <t xml:space="preserve">Average load current: </t>
    </r>
    <r>
      <rPr>
        <sz val="11"/>
        <color indexed="8"/>
        <rFont val="Calibri"/>
        <family val="2"/>
      </rPr>
      <t>Δ</t>
    </r>
    <r>
      <rPr>
        <sz val="11"/>
        <color theme="1"/>
        <rFont val="Calibri"/>
        <family val="2"/>
        <scheme val="minor"/>
      </rPr>
      <t>ILo/2 &lt; Iout &lt; Iout</t>
    </r>
    <r>
      <rPr>
        <vertAlign val="subscript"/>
        <sz val="11"/>
        <color indexed="8"/>
        <rFont val="Calibri"/>
        <family val="2"/>
      </rPr>
      <t>MAX</t>
    </r>
  </si>
  <si>
    <r>
      <t>f</t>
    </r>
    <r>
      <rPr>
        <b/>
        <vertAlign val="subscript"/>
        <sz val="11"/>
        <color indexed="8"/>
        <rFont val="Calibri"/>
        <family val="2"/>
      </rPr>
      <t>P1</t>
    </r>
  </si>
  <si>
    <r>
      <t>Dominant pole formed by Co and R</t>
    </r>
    <r>
      <rPr>
        <vertAlign val="subscript"/>
        <sz val="11"/>
        <color theme="1"/>
        <rFont val="Calibri"/>
        <family val="2"/>
        <scheme val="minor"/>
      </rPr>
      <t>LOAD</t>
    </r>
    <r>
      <rPr>
        <sz val="11"/>
        <color theme="1"/>
        <rFont val="Calibri"/>
        <family val="2"/>
        <scheme val="minor"/>
      </rPr>
      <t>.</t>
    </r>
  </si>
  <si>
    <r>
      <t>f</t>
    </r>
    <r>
      <rPr>
        <b/>
        <vertAlign val="subscript"/>
        <sz val="11"/>
        <color indexed="8"/>
        <rFont val="Calibri"/>
        <family val="2"/>
      </rPr>
      <t>Z1</t>
    </r>
  </si>
  <si>
    <t>Zero formed by the output capacitance and its ESR</t>
  </si>
  <si>
    <t>Rz</t>
  </si>
  <si>
    <t>Recommended compensation resister to achieve chosen fc</t>
  </si>
  <si>
    <t xml:space="preserve">Rz = </t>
  </si>
  <si>
    <t>Enter the closest available 1% standard resister value</t>
  </si>
  <si>
    <t>Cz (min, max)</t>
  </si>
  <si>
    <t>Recommended range for the compensation capacitor</t>
  </si>
  <si>
    <t>Cp</t>
  </si>
  <si>
    <t>pF</t>
  </si>
  <si>
    <t>Recommended HF compensation capacitor</t>
  </si>
  <si>
    <t>These values are all derived from the data sheet or lab measurements.</t>
  </si>
  <si>
    <t>PARAMETER</t>
  </si>
  <si>
    <t>VFB</t>
  </si>
  <si>
    <t>VFB tol</t>
  </si>
  <si>
    <t>Calculated values</t>
  </si>
  <si>
    <t>RFB combo</t>
  </si>
  <si>
    <t>Chosen value, total R seen by the FB pin</t>
  </si>
  <si>
    <r>
      <t>Lo</t>
    </r>
    <r>
      <rPr>
        <b/>
        <vertAlign val="subscript"/>
        <sz val="11"/>
        <color theme="1"/>
        <rFont val="Calibri"/>
        <family val="2"/>
        <scheme val="minor"/>
      </rPr>
      <t>DCR</t>
    </r>
  </si>
  <si>
    <r>
      <t>m</t>
    </r>
    <r>
      <rPr>
        <sz val="11"/>
        <color theme="1"/>
        <rFont val="Calibri"/>
        <family val="2"/>
      </rPr>
      <t>Ω</t>
    </r>
  </si>
  <si>
    <t>Default DCR of the output inductor</t>
  </si>
  <si>
    <t>UVLO Stop</t>
  </si>
  <si>
    <t>Data sheet value</t>
  </si>
  <si>
    <t>UVLO Hysteresis</t>
  </si>
  <si>
    <t>UVLO Multiplier</t>
  </si>
  <si>
    <t>Chosen value, allows for margin</t>
  </si>
  <si>
    <t>AVOL</t>
  </si>
  <si>
    <t>dB</t>
  </si>
  <si>
    <t>gm_EA</t>
  </si>
  <si>
    <r>
      <rPr>
        <sz val="11"/>
        <color indexed="8"/>
        <rFont val="Calibri"/>
        <family val="2"/>
      </rPr>
      <t>µ</t>
    </r>
    <r>
      <rPr>
        <sz val="11"/>
        <color theme="1"/>
        <rFont val="Calibri"/>
        <family val="2"/>
        <scheme val="minor"/>
      </rPr>
      <t>A/V</t>
    </r>
  </si>
  <si>
    <t>Ro_EA</t>
  </si>
  <si>
    <r>
      <t>M</t>
    </r>
    <r>
      <rPr>
        <sz val="11"/>
        <color indexed="8"/>
        <rFont val="Calibri"/>
        <family val="2"/>
      </rPr>
      <t>Ω</t>
    </r>
  </si>
  <si>
    <t>gm_power</t>
  </si>
  <si>
    <t>A/V</t>
  </si>
  <si>
    <r>
      <t>Slope Comp (S</t>
    </r>
    <r>
      <rPr>
        <b/>
        <vertAlign val="subscript"/>
        <sz val="11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>)</t>
    </r>
  </si>
  <si>
    <r>
      <t>A/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s</t>
    </r>
  </si>
  <si>
    <t>Data sheet values</t>
  </si>
  <si>
    <t>Mhz</t>
  </si>
  <si>
    <t>Fsw</t>
  </si>
  <si>
    <t>Fsw_tol</t>
  </si>
  <si>
    <r>
      <t>t_on</t>
    </r>
    <r>
      <rPr>
        <b/>
        <vertAlign val="subscript"/>
        <sz val="11"/>
        <color indexed="8"/>
        <rFont val="Calibri"/>
        <family val="2"/>
      </rPr>
      <t>MIN</t>
    </r>
  </si>
  <si>
    <t>ns</t>
  </si>
  <si>
    <r>
      <t>Data sheet value, strongly affects Fsw at Vin</t>
    </r>
    <r>
      <rPr>
        <vertAlign val="subscript"/>
        <sz val="11"/>
        <color indexed="8"/>
        <rFont val="Calibri"/>
        <family val="2"/>
      </rPr>
      <t>MAX</t>
    </r>
  </si>
  <si>
    <r>
      <t>t_off</t>
    </r>
    <r>
      <rPr>
        <b/>
        <vertAlign val="subscript"/>
        <sz val="11"/>
        <color indexed="8"/>
        <rFont val="Calibri"/>
        <family val="2"/>
      </rPr>
      <t>MIN</t>
    </r>
  </si>
  <si>
    <r>
      <t>Data sheet value, strongly affects Fsw at Vin</t>
    </r>
    <r>
      <rPr>
        <vertAlign val="subscript"/>
        <sz val="11"/>
        <color indexed="8"/>
        <rFont val="Calibri"/>
        <family val="2"/>
      </rPr>
      <t>MIN</t>
    </r>
  </si>
  <si>
    <t>t_NO</t>
  </si>
  <si>
    <t>Default non-overlap value</t>
  </si>
  <si>
    <t>IQ</t>
  </si>
  <si>
    <t>mA</t>
  </si>
  <si>
    <r>
      <t>High Side RDS</t>
    </r>
    <r>
      <rPr>
        <b/>
        <vertAlign val="subscript"/>
        <sz val="11"/>
        <color theme="1"/>
        <rFont val="Calibri"/>
        <family val="2"/>
        <scheme val="minor"/>
      </rPr>
      <t>ON</t>
    </r>
    <r>
      <rPr>
        <b/>
        <sz val="11"/>
        <color theme="1"/>
        <rFont val="Calibri"/>
        <family val="2"/>
        <scheme val="minor"/>
      </rPr>
      <t xml:space="preserve"> @ 25C</t>
    </r>
  </si>
  <si>
    <r>
      <t>m</t>
    </r>
    <r>
      <rPr>
        <sz val="11"/>
        <color indexed="8"/>
        <rFont val="Calibri"/>
        <family val="2"/>
      </rPr>
      <t>Ω</t>
    </r>
  </si>
  <si>
    <t>Design supplied value</t>
  </si>
  <si>
    <r>
      <t>Low Side RDS</t>
    </r>
    <r>
      <rPr>
        <b/>
        <vertAlign val="subscript"/>
        <sz val="11"/>
        <color theme="1"/>
        <rFont val="Calibri"/>
        <family val="2"/>
        <scheme val="minor"/>
      </rPr>
      <t>ON</t>
    </r>
    <r>
      <rPr>
        <b/>
        <sz val="11"/>
        <color theme="1"/>
        <rFont val="Calibri"/>
        <family val="2"/>
        <scheme val="minor"/>
      </rPr>
      <t xml:space="preserve"> @ 25C</t>
    </r>
  </si>
  <si>
    <r>
      <t>TCR of RDS</t>
    </r>
    <r>
      <rPr>
        <b/>
        <vertAlign val="subscript"/>
        <sz val="11"/>
        <color theme="1"/>
        <rFont val="Calibri"/>
        <family val="2"/>
        <scheme val="minor"/>
      </rPr>
      <t>ON</t>
    </r>
  </si>
  <si>
    <r>
      <t xml:space="preserve">% / </t>
    </r>
    <r>
      <rPr>
        <sz val="11"/>
        <color indexed="8"/>
        <rFont val="Calibri"/>
        <family val="2"/>
      </rPr>
      <t>°</t>
    </r>
    <r>
      <rPr>
        <sz val="11"/>
        <color theme="1"/>
        <rFont val="Calibri"/>
        <family val="2"/>
        <scheme val="minor"/>
      </rPr>
      <t>C</t>
    </r>
  </si>
  <si>
    <r>
      <t>V</t>
    </r>
    <r>
      <rPr>
        <b/>
        <vertAlign val="subscript"/>
        <sz val="11"/>
        <color theme="1"/>
        <rFont val="Calibri"/>
        <family val="2"/>
        <scheme val="minor"/>
      </rPr>
      <t>SD</t>
    </r>
    <r>
      <rPr>
        <b/>
        <sz val="11"/>
        <color theme="1"/>
        <rFont val="Calibri"/>
        <family val="2"/>
        <scheme val="minor"/>
      </rPr>
      <t xml:space="preserve"> of Low-Side FET</t>
    </r>
  </si>
  <si>
    <t>Qg_High-Side FET</t>
  </si>
  <si>
    <t>nC</t>
  </si>
  <si>
    <t>Qg_Low-Side FET</t>
  </si>
  <si>
    <t>Gate Drive source</t>
  </si>
  <si>
    <t>Output</t>
  </si>
  <si>
    <t>Yes</t>
  </si>
  <si>
    <t>LX_slew_rise</t>
  </si>
  <si>
    <t>V/ns</t>
  </si>
  <si>
    <t>Measured value, see LX curve to the right</t>
  </si>
  <si>
    <t>No</t>
  </si>
  <si>
    <t>LX_slew_fall</t>
  </si>
  <si>
    <t>Input</t>
  </si>
  <si>
    <t>SS_I_source</t>
  </si>
  <si>
    <r>
      <rPr>
        <sz val="11"/>
        <color indexed="8"/>
        <rFont val="Calibri"/>
        <family val="2"/>
      </rPr>
      <t>µ</t>
    </r>
    <r>
      <rPr>
        <sz val="11"/>
        <color theme="1"/>
        <rFont val="Calibri"/>
        <family val="2"/>
        <scheme val="minor"/>
      </rPr>
      <t>A</t>
    </r>
  </si>
  <si>
    <t>Synchronous Buck</t>
  </si>
  <si>
    <r>
      <t>ILIM</t>
    </r>
    <r>
      <rPr>
        <vertAlign val="subscript"/>
        <sz val="11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 xml:space="preserve"> at 5% duty cycle, data sheet value</t>
    </r>
  </si>
  <si>
    <r>
      <t>ILIM</t>
    </r>
    <r>
      <rPr>
        <vertAlign val="subscript"/>
        <sz val="11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 xml:space="preserve"> at 90% duty cycle, data sheet value</t>
    </r>
  </si>
  <si>
    <t>ILIM slope</t>
  </si>
  <si>
    <t>A / %</t>
  </si>
  <si>
    <t>ILIM offset</t>
  </si>
  <si>
    <t>TCR of Copper</t>
  </si>
  <si>
    <r>
      <t>%/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C</t>
    </r>
  </si>
  <si>
    <t>Known value, used for inductor DCR</t>
  </si>
  <si>
    <t>Iout</t>
  </si>
  <si>
    <t>HS</t>
  </si>
  <si>
    <t>LS</t>
  </si>
  <si>
    <t>Pin</t>
  </si>
  <si>
    <r>
      <t>P</t>
    </r>
    <r>
      <rPr>
        <b/>
        <vertAlign val="subscript"/>
        <sz val="10"/>
        <rFont val="Arial"/>
        <family val="2"/>
      </rPr>
      <t>SW</t>
    </r>
  </si>
  <si>
    <r>
      <t>P</t>
    </r>
    <r>
      <rPr>
        <b/>
        <vertAlign val="subscript"/>
        <sz val="10"/>
        <rFont val="Arial"/>
        <family val="2"/>
      </rPr>
      <t>COND</t>
    </r>
  </si>
  <si>
    <r>
      <t>P</t>
    </r>
    <r>
      <rPr>
        <b/>
        <vertAlign val="subscript"/>
        <sz val="10"/>
        <rFont val="Arial"/>
        <family val="2"/>
      </rPr>
      <t>NO</t>
    </r>
  </si>
  <si>
    <r>
      <t>P</t>
    </r>
    <r>
      <rPr>
        <b/>
        <vertAlign val="subscript"/>
        <sz val="10"/>
        <rFont val="Arial"/>
        <family val="2"/>
      </rPr>
      <t>IC</t>
    </r>
  </si>
  <si>
    <t>Output Capacitor Characterization:  10uF, 10%, 16V, X7R, 1206</t>
  </si>
  <si>
    <t>Vo</t>
  </si>
  <si>
    <t>Voltage where transient data was obtained</t>
  </si>
  <si>
    <r>
      <t>Io</t>
    </r>
    <r>
      <rPr>
        <b/>
        <vertAlign val="subscript"/>
        <sz val="11"/>
        <color theme="1"/>
        <rFont val="Calibri"/>
        <family val="2"/>
        <scheme val="minor"/>
      </rPr>
      <t>MAX</t>
    </r>
  </si>
  <si>
    <t>Maximum current for this design</t>
  </si>
  <si>
    <r>
      <rPr>
        <b/>
        <sz val="11"/>
        <color theme="1"/>
        <rFont val="Calibri"/>
        <family val="2"/>
      </rPr>
      <t>Δ</t>
    </r>
    <r>
      <rPr>
        <b/>
        <sz val="11"/>
        <color theme="1"/>
        <rFont val="Calibri"/>
        <family val="2"/>
        <scheme val="minor"/>
      </rPr>
      <t>Io</t>
    </r>
  </si>
  <si>
    <t>Measured transient step current</t>
  </si>
  <si>
    <r>
      <rPr>
        <b/>
        <sz val="11"/>
        <color theme="1"/>
        <rFont val="Calibri"/>
        <family val="2"/>
      </rPr>
      <t>Δ</t>
    </r>
    <r>
      <rPr>
        <b/>
        <sz val="11"/>
        <color theme="1"/>
        <rFont val="Calibri"/>
        <family val="2"/>
        <scheme val="minor"/>
      </rPr>
      <t>Io/Io</t>
    </r>
    <r>
      <rPr>
        <b/>
        <vertAlign val="subscript"/>
        <sz val="11"/>
        <color theme="1"/>
        <rFont val="Calibri"/>
        <family val="2"/>
        <scheme val="minor"/>
      </rPr>
      <t>MAX</t>
    </r>
  </si>
  <si>
    <t>Measured step current as a percent of full load</t>
  </si>
  <si>
    <t>Capacitors</t>
  </si>
  <si>
    <t>Capacitors used during this measurement</t>
  </si>
  <si>
    <r>
      <t>f</t>
    </r>
    <r>
      <rPr>
        <b/>
        <vertAlign val="subscript"/>
        <sz val="11"/>
        <color theme="1"/>
        <rFont val="Calibri"/>
        <family val="2"/>
        <scheme val="minor"/>
      </rPr>
      <t>SW</t>
    </r>
  </si>
  <si>
    <t>Switching frequency used during measurement</t>
  </si>
  <si>
    <r>
      <rPr>
        <b/>
        <sz val="11"/>
        <color theme="1"/>
        <rFont val="Calibri"/>
        <family val="2"/>
      </rPr>
      <t>Δ</t>
    </r>
    <r>
      <rPr>
        <b/>
        <sz val="11"/>
        <color theme="1"/>
        <rFont val="Calibri"/>
        <family val="2"/>
        <scheme val="minor"/>
      </rPr>
      <t>Vo</t>
    </r>
  </si>
  <si>
    <t>Measured on Allegro EVB with 1x 10uF</t>
  </si>
  <si>
    <t>Co_tol</t>
  </si>
  <si>
    <t>Worst case initial tolerance</t>
  </si>
  <si>
    <t>Co_ESR</t>
  </si>
  <si>
    <t>Based on Kemet data + solder/tracks/vias</t>
  </si>
  <si>
    <t>Co_ESL</t>
  </si>
  <si>
    <t>1x 10uF with DC bias</t>
  </si>
  <si>
    <t>V  |  µF</t>
  </si>
  <si>
    <t>Based on Murata data</t>
  </si>
  <si>
    <t>DC bias coefficient</t>
  </si>
  <si>
    <r>
      <t>µF/V</t>
    </r>
    <r>
      <rPr>
        <vertAlign val="superscript"/>
        <sz val="11"/>
        <color theme="1"/>
        <rFont val="Calibri"/>
        <family val="2"/>
      </rPr>
      <t>3</t>
    </r>
  </si>
  <si>
    <r>
      <t>Curve fit, coefficient of V</t>
    </r>
    <r>
      <rPr>
        <vertAlign val="superscript"/>
        <sz val="11"/>
        <color theme="1"/>
        <rFont val="Calibri"/>
        <family val="2"/>
        <scheme val="minor"/>
      </rPr>
      <t>3</t>
    </r>
  </si>
  <si>
    <r>
      <t>µF/V</t>
    </r>
    <r>
      <rPr>
        <vertAlign val="superscript"/>
        <sz val="11"/>
        <color theme="1"/>
        <rFont val="Calibri"/>
        <family val="2"/>
      </rPr>
      <t>2</t>
    </r>
  </si>
  <si>
    <r>
      <t>Curve fit, coefficient of V</t>
    </r>
    <r>
      <rPr>
        <vertAlign val="superscript"/>
        <sz val="11"/>
        <color theme="1"/>
        <rFont val="Calibri"/>
        <family val="2"/>
        <scheme val="minor"/>
      </rPr>
      <t>2</t>
    </r>
  </si>
  <si>
    <t>µF/V</t>
  </si>
  <si>
    <t>Curve fit, coefficient of V</t>
  </si>
  <si>
    <t>µF</t>
  </si>
  <si>
    <t>Curve fit, coefficient of 0V</t>
  </si>
  <si>
    <t>Calculated Slope Compensation at chosen Fsw:</t>
  </si>
  <si>
    <r>
      <t>S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@ Fsw =</t>
    </r>
  </si>
  <si>
    <t>Estimated Slope Compensation at chosen Fsw</t>
  </si>
  <si>
    <t>Vin =</t>
  </si>
  <si>
    <t>T (°C)</t>
  </si>
  <si>
    <t>Duty</t>
  </si>
  <si>
    <r>
      <rPr>
        <b/>
        <sz val="10"/>
        <rFont val="Calibri"/>
        <family val="2"/>
      </rPr>
      <t>Δ</t>
    </r>
    <r>
      <rPr>
        <b/>
        <sz val="10"/>
        <rFont val="Arial"/>
        <family val="2"/>
      </rPr>
      <t>IL</t>
    </r>
  </si>
  <si>
    <r>
      <t>P</t>
    </r>
    <r>
      <rPr>
        <b/>
        <vertAlign val="subscript"/>
        <sz val="10"/>
        <rFont val="Arial"/>
        <family val="2"/>
      </rPr>
      <t>IND</t>
    </r>
  </si>
  <si>
    <r>
      <t>P</t>
    </r>
    <r>
      <rPr>
        <b/>
        <vertAlign val="subscript"/>
        <sz val="10"/>
        <rFont val="Arial"/>
        <family val="2"/>
      </rPr>
      <t>SNUB</t>
    </r>
  </si>
  <si>
    <r>
      <rPr>
        <b/>
        <sz val="10"/>
        <rFont val="Calibri"/>
        <family val="2"/>
      </rPr>
      <t>Δ</t>
    </r>
    <r>
      <rPr>
        <b/>
        <sz val="10"/>
        <rFont val="Arial"/>
        <family val="2"/>
      </rPr>
      <t>TJ</t>
    </r>
    <r>
      <rPr>
        <b/>
        <vertAlign val="subscript"/>
        <sz val="10"/>
        <rFont val="Arial"/>
        <family val="2"/>
      </rPr>
      <t>IC</t>
    </r>
  </si>
  <si>
    <r>
      <t>TJ</t>
    </r>
    <r>
      <rPr>
        <b/>
        <vertAlign val="subscript"/>
        <sz val="10"/>
        <rFont val="Arial"/>
        <family val="2"/>
      </rPr>
      <t>IC</t>
    </r>
  </si>
  <si>
    <r>
      <t>RDS</t>
    </r>
    <r>
      <rPr>
        <b/>
        <vertAlign val="subscript"/>
        <sz val="10"/>
        <rFont val="Arial"/>
        <family val="2"/>
      </rPr>
      <t>ON</t>
    </r>
  </si>
  <si>
    <t>QgHS</t>
  </si>
  <si>
    <t>QgLS</t>
  </si>
  <si>
    <r>
      <t>VO</t>
    </r>
    <r>
      <rPr>
        <b/>
        <vertAlign val="subscript"/>
        <sz val="10"/>
        <rFont val="Arial"/>
        <family val="2"/>
      </rPr>
      <t>SAT</t>
    </r>
  </si>
  <si>
    <r>
      <t>V</t>
    </r>
    <r>
      <rPr>
        <b/>
        <vertAlign val="subscript"/>
        <sz val="10"/>
        <rFont val="Arial"/>
        <family val="2"/>
      </rPr>
      <t>OUT</t>
    </r>
  </si>
  <si>
    <r>
      <t>P</t>
    </r>
    <r>
      <rPr>
        <b/>
        <vertAlign val="subscript"/>
        <sz val="10"/>
        <rFont val="Arial"/>
        <family val="2"/>
      </rPr>
      <t>IN</t>
    </r>
  </si>
  <si>
    <r>
      <t>P</t>
    </r>
    <r>
      <rPr>
        <b/>
        <vertAlign val="subscript"/>
        <sz val="10"/>
        <rFont val="Arial"/>
        <family val="2"/>
      </rPr>
      <t>OUT</t>
    </r>
  </si>
  <si>
    <t>EFF</t>
  </si>
  <si>
    <t>INSTRUCTIONS:  No values need to be entered here, all values are derived from the DESIGN tab</t>
  </si>
  <si>
    <t>Vout during dropout calculated with the typical OFF time at room temperature (25C)</t>
  </si>
  <si>
    <r>
      <t>P</t>
    </r>
    <r>
      <rPr>
        <b/>
        <vertAlign val="subscript"/>
        <sz val="10"/>
        <rFont val="Arial"/>
        <family val="2"/>
      </rPr>
      <t>DRV</t>
    </r>
  </si>
  <si>
    <t>Vout</t>
  </si>
  <si>
    <t>Vout during dropout calculated with the worst case maximum OFF time at maximum ambient temperature</t>
  </si>
  <si>
    <r>
      <t>LX resonance, F</t>
    </r>
    <r>
      <rPr>
        <b/>
        <vertAlign val="subscript"/>
        <sz val="11"/>
        <color theme="1"/>
        <rFont val="Calibri"/>
        <family val="2"/>
        <scheme val="minor"/>
      </rPr>
      <t>LX</t>
    </r>
  </si>
  <si>
    <t>Measured LX resonant freqeuncy</t>
  </si>
  <si>
    <r>
      <t>LX resonance, T</t>
    </r>
    <r>
      <rPr>
        <b/>
        <vertAlign val="subscript"/>
        <sz val="11"/>
        <color theme="1"/>
        <rFont val="Calibri"/>
        <family val="2"/>
        <scheme val="minor"/>
      </rPr>
      <t>LX</t>
    </r>
  </si>
  <si>
    <t>LX resonance period</t>
  </si>
  <si>
    <t>Capacitance of D1</t>
  </si>
  <si>
    <r>
      <t xml:space="preserve">   Estimated D1 capacitance at Vin</t>
    </r>
    <r>
      <rPr>
        <vertAlign val="subscript"/>
        <sz val="11"/>
        <color theme="1"/>
        <rFont val="Calibri"/>
        <family val="2"/>
        <scheme val="minor"/>
      </rPr>
      <t>TYP</t>
    </r>
    <r>
      <rPr>
        <sz val="11"/>
        <color theme="1"/>
        <rFont val="Calibri"/>
        <family val="2"/>
        <scheme val="minor"/>
      </rPr>
      <t xml:space="preserve"> if 
   Freewheeling diode D1 exists; otherwise put 0</t>
    </r>
  </si>
  <si>
    <t>Capacitance, other</t>
  </si>
  <si>
    <t>Estimated FET + PCB trace capacitance</t>
  </si>
  <si>
    <r>
      <t xml:space="preserve">Snubber </t>
    </r>
    <r>
      <rPr>
        <b/>
        <sz val="11"/>
        <color theme="1"/>
        <rFont val="Calibri"/>
        <family val="2"/>
      </rPr>
      <t>‒</t>
    </r>
    <r>
      <rPr>
        <b/>
        <sz val="11"/>
        <color theme="1"/>
        <rFont val="Calibri"/>
        <family val="2"/>
        <scheme val="minor"/>
      </rPr>
      <t>3dB freq.</t>
    </r>
  </si>
  <si>
    <r>
      <t>Multiple of F</t>
    </r>
    <r>
      <rPr>
        <vertAlign val="subscript"/>
        <sz val="11"/>
        <color theme="1"/>
        <rFont val="Calibri"/>
        <family val="2"/>
      </rPr>
      <t>LX</t>
    </r>
  </si>
  <si>
    <t>Start with 2.5, decrease for more damping</t>
  </si>
  <si>
    <t>Snubber Component Calculations:</t>
  </si>
  <si>
    <r>
      <t>L</t>
    </r>
    <r>
      <rPr>
        <b/>
        <vertAlign val="subscript"/>
        <sz val="11"/>
        <color theme="1"/>
        <rFont val="Calibri"/>
        <family val="2"/>
        <scheme val="minor"/>
      </rPr>
      <t>EQ</t>
    </r>
  </si>
  <si>
    <r>
      <t>Equivalent inductance, given F</t>
    </r>
    <r>
      <rPr>
        <vertAlign val="subscript"/>
        <sz val="11"/>
        <color theme="1"/>
        <rFont val="Calibri"/>
        <family val="2"/>
        <scheme val="minor"/>
      </rPr>
      <t>LX</t>
    </r>
    <r>
      <rPr>
        <sz val="11"/>
        <color theme="1"/>
        <rFont val="Calibri"/>
        <family val="2"/>
        <scheme val="minor"/>
      </rPr>
      <t xml:space="preserve"> and C</t>
    </r>
    <r>
      <rPr>
        <vertAlign val="subscript"/>
        <sz val="11"/>
        <color theme="1"/>
        <rFont val="Calibri"/>
        <family val="2"/>
        <scheme val="minor"/>
      </rPr>
      <t>TOTAL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</si>
  <si>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SNUB</t>
    </r>
  </si>
  <si>
    <t>Snubber resistance, use the closest available standard value</t>
  </si>
  <si>
    <r>
      <t>R</t>
    </r>
    <r>
      <rPr>
        <b/>
        <vertAlign val="subscript"/>
        <sz val="11"/>
        <color rgb="FF0000FF"/>
        <rFont val="Calibri"/>
        <family val="2"/>
        <scheme val="minor"/>
      </rPr>
      <t>SNUB</t>
    </r>
    <r>
      <rPr>
        <b/>
        <sz val="11"/>
        <color rgb="FF0000FF"/>
        <rFont val="Calibri"/>
        <family val="2"/>
        <scheme val="minor"/>
      </rPr>
      <t xml:space="preserve"> = </t>
    </r>
  </si>
  <si>
    <t>Enter the snubber resister value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</si>
  <si>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SNUB</t>
    </r>
  </si>
  <si>
    <t>Snubber capacitance, use the closest available standard value</t>
  </si>
  <si>
    <r>
      <t>C</t>
    </r>
    <r>
      <rPr>
        <b/>
        <vertAlign val="subscript"/>
        <sz val="11"/>
        <color rgb="FF0000FF"/>
        <rFont val="Calibri"/>
        <family val="2"/>
        <scheme val="minor"/>
      </rPr>
      <t>SNUB</t>
    </r>
    <r>
      <rPr>
        <b/>
        <sz val="11"/>
        <color rgb="FF0000FF"/>
        <rFont val="Calibri"/>
        <family val="2"/>
        <scheme val="minor"/>
      </rPr>
      <t xml:space="preserve"> = </t>
    </r>
  </si>
  <si>
    <t>Enter the snubber capacitor value, enter "0" if no snubber is used</t>
  </si>
  <si>
    <r>
      <t>P</t>
    </r>
    <r>
      <rPr>
        <vertAlign val="subscript"/>
        <sz val="11"/>
        <color theme="1"/>
        <rFont val="Calibri"/>
        <family val="2"/>
        <scheme val="minor"/>
      </rPr>
      <t>SNUB</t>
    </r>
  </si>
  <si>
    <t>mW</t>
  </si>
  <si>
    <r>
      <t>Snubber resistor power requirement at Vin</t>
    </r>
    <r>
      <rPr>
        <vertAlign val="subscript"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 xml:space="preserve"> and Fsw</t>
    </r>
  </si>
  <si>
    <t>Typical LX frequency measurement before snubber</t>
  </si>
  <si>
    <t>ILIMMIN_5</t>
  </si>
  <si>
    <t>ILIMMIN_90</t>
  </si>
  <si>
    <t>Select FB resistor from Vout to VFB</t>
  </si>
  <si>
    <t>Choose a standard resistor value, or combination of values</t>
  </si>
  <si>
    <t>Recommended FB resistor from VFB to GND</t>
  </si>
  <si>
    <r>
      <t>Duty Cycle</t>
    </r>
    <r>
      <rPr>
        <b/>
        <vertAlign val="subscript"/>
        <sz val="11"/>
        <color theme="1"/>
        <rFont val="Calibri"/>
        <family val="2"/>
        <scheme val="minor"/>
      </rPr>
      <t>MAX</t>
    </r>
    <r>
      <rPr>
        <b/>
        <sz val="11"/>
        <color theme="1"/>
        <rFont val="Calibri"/>
        <family val="2"/>
        <scheme val="minor"/>
      </rPr>
      <t xml:space="preserve"> Extended</t>
    </r>
  </si>
  <si>
    <t>(MIN | TYP) Extended duty cycles at the chosen Fsw given tOFF,TYP, tOFF,MAX</t>
  </si>
  <si>
    <t>tOFF</t>
  </si>
  <si>
    <t>ARG81800</t>
  </si>
  <si>
    <t>ARG81800-1</t>
  </si>
  <si>
    <t>A/us</t>
  </si>
  <si>
    <t>Eduation of a line</t>
  </si>
  <si>
    <t>Select IC:</t>
  </si>
  <si>
    <r>
      <t xml:space="preserve">Current  limiting at </t>
    </r>
    <r>
      <rPr>
        <b/>
        <sz val="11"/>
        <color theme="1"/>
        <rFont val="Calibri"/>
        <family val="2"/>
        <scheme val="minor"/>
      </rPr>
      <t>V</t>
    </r>
    <r>
      <rPr>
        <b/>
        <vertAlign val="subscript"/>
        <sz val="11"/>
        <color theme="1"/>
        <rFont val="Calibri"/>
        <family val="2"/>
        <scheme val="minor"/>
      </rPr>
      <t>IN,TYP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&amp; 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TYP</t>
    </r>
  </si>
  <si>
    <r>
      <t xml:space="preserve">Current  limiting at </t>
    </r>
    <r>
      <rPr>
        <b/>
        <sz val="11"/>
        <color theme="1"/>
        <rFont val="Calibri"/>
        <family val="2"/>
        <scheme val="minor"/>
      </rPr>
      <t>V</t>
    </r>
    <r>
      <rPr>
        <b/>
        <vertAlign val="subscript"/>
        <sz val="11"/>
        <color theme="1"/>
        <rFont val="Calibri"/>
        <family val="2"/>
        <scheme val="minor"/>
      </rPr>
      <t>IN,MIN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&amp; 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MAX</t>
    </r>
  </si>
  <si>
    <t>INSTRUCTIONS:   Enter design goals and component values in the white boxes.
Ensure "Enable iterative calculation" is checked under File -&gt; Options -&gt; Formulas</t>
  </si>
  <si>
    <t>ALLEGRO ARG81800 DESIGN SPREADSHEET- Rev 0.2</t>
  </si>
  <si>
    <t>Reset:</t>
  </si>
  <si>
    <t>If any errors are observed set "Reset" to 1 then back to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</si>
</sst>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4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vertAlign val="subscript"/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b/>
      <sz val="11"/>
      <color indexed="8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sz val="11"/>
      <color theme="1"/>
      <name val="Calibri"/>
      <family val="2"/>
    </font>
    <font>
      <i/>
      <sz val="11"/>
      <color theme="0"/>
      <name val="Calibri"/>
      <family val="2"/>
    </font>
    <font>
      <b/>
      <i/>
      <sz val="11"/>
      <color rgb="FF0000FF"/>
      <name val="Calibri"/>
      <family val="2"/>
    </font>
    <font>
      <b/>
      <sz val="11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00FF"/>
      <name val="Calibri"/>
      <family val="2"/>
    </font>
    <font>
      <b/>
      <sz val="11"/>
      <color rgb="FFFF0000"/>
      <name val="Calibri"/>
      <family val="2"/>
      <scheme val="minor"/>
    </font>
    <font>
      <b/>
      <vertAlign val="subscript"/>
      <sz val="11"/>
      <color rgb="FF0000FF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</font>
    <font>
      <i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0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vertAlign val="subscript"/>
      <sz val="11"/>
      <color theme="1"/>
      <name val="Calibri"/>
      <family val="2"/>
    </font>
    <font>
      <sz val="11"/>
      <color theme="0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1" fillId="0" borderId="0"/>
  </cellStyleXfs>
  <cellXfs count="555">
    <xf numFmtId="0" fontId="0" fillId="0" borderId="0" xfId="0"/>
    <xf numFmtId="164" fontId="0" fillId="6" borderId="11" xfId="0" applyNumberFormat="1" applyFill="1" applyBorder="1" applyAlignment="1" applyProtection="1">
      <alignment horizontal="center" vertical="center"/>
      <protection locked="0"/>
    </xf>
    <xf numFmtId="2" fontId="0" fillId="6" borderId="18" xfId="0" applyNumberFormat="1" applyFill="1" applyBorder="1" applyAlignment="1" applyProtection="1">
      <alignment horizontal="center" vertical="center"/>
      <protection locked="0"/>
    </xf>
    <xf numFmtId="2" fontId="8" fillId="6" borderId="11" xfId="0" applyNumberFormat="1" applyFont="1" applyFill="1" applyBorder="1" applyAlignment="1" applyProtection="1">
      <alignment horizontal="center" vertical="center"/>
      <protection locked="0"/>
    </xf>
    <xf numFmtId="1" fontId="0" fillId="6" borderId="11" xfId="0" applyNumberFormat="1" applyFill="1" applyBorder="1" applyAlignment="1" applyProtection="1">
      <alignment horizontal="center" vertical="center"/>
      <protection locked="0"/>
    </xf>
    <xf numFmtId="0" fontId="8" fillId="6" borderId="11" xfId="0" applyFont="1" applyFill="1" applyBorder="1" applyAlignment="1" applyProtection="1">
      <alignment horizontal="center" vertical="center"/>
      <protection locked="0"/>
    </xf>
    <xf numFmtId="2" fontId="0" fillId="6" borderId="26" xfId="0" applyNumberFormat="1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horizontal="center" vertical="center"/>
      <protection locked="0"/>
    </xf>
    <xf numFmtId="2" fontId="21" fillId="6" borderId="11" xfId="0" applyNumberFormat="1" applyFont="1" applyFill="1" applyBorder="1" applyAlignment="1" applyProtection="1">
      <alignment horizontal="center"/>
      <protection locked="0"/>
    </xf>
    <xf numFmtId="165" fontId="0" fillId="6" borderId="11" xfId="0" applyNumberFormat="1" applyFill="1" applyBorder="1" applyAlignment="1" applyProtection="1">
      <alignment horizontal="center"/>
      <protection locked="0"/>
    </xf>
    <xf numFmtId="164" fontId="32" fillId="6" borderId="11" xfId="0" applyNumberFormat="1" applyFont="1" applyFill="1" applyBorder="1" applyAlignment="1" applyProtection="1">
      <alignment horizontal="center" vertical="center"/>
      <protection locked="0"/>
    </xf>
    <xf numFmtId="1" fontId="32" fillId="6" borderId="11" xfId="0" applyNumberFormat="1" applyFont="1" applyFill="1" applyBorder="1" applyAlignment="1" applyProtection="1">
      <alignment horizontal="center" vertical="center"/>
      <protection locked="0"/>
    </xf>
    <xf numFmtId="164" fontId="21" fillId="6" borderId="11" xfId="0" applyNumberFormat="1" applyFont="1" applyFill="1" applyBorder="1" applyAlignment="1" applyProtection="1">
      <alignment horizontal="center"/>
      <protection locked="0"/>
    </xf>
    <xf numFmtId="0" fontId="42" fillId="4" borderId="41" xfId="2" applyFont="1" applyFill="1" applyBorder="1" applyAlignment="1" applyProtection="1">
      <alignment horizontal="center" vertical="center"/>
    </xf>
    <xf numFmtId="0" fontId="51" fillId="6" borderId="0" xfId="2" applyFont="1" applyFill="1" applyBorder="1" applyAlignment="1" applyProtection="1">
      <alignment horizontal="center" vertical="center"/>
    </xf>
    <xf numFmtId="0" fontId="41" fillId="6" borderId="0" xfId="2" applyFill="1" applyProtection="1"/>
    <xf numFmtId="1" fontId="0" fillId="6" borderId="11" xfId="0" applyNumberFormat="1" applyFill="1" applyBorder="1" applyAlignment="1" applyProtection="1">
      <alignment horizontal="center"/>
      <protection locked="0"/>
    </xf>
    <xf numFmtId="164" fontId="8" fillId="6" borderId="11" xfId="0" applyNumberFormat="1" applyFont="1" applyFill="1" applyBorder="1" applyAlignment="1" applyProtection="1">
      <alignment horizontal="center" vertical="center"/>
      <protection locked="0"/>
    </xf>
    <xf numFmtId="0" fontId="40" fillId="4" borderId="40" xfId="0" applyFont="1" applyFill="1" applyBorder="1" applyAlignment="1" applyProtection="1">
      <alignment horizontal="center" vertical="center"/>
    </xf>
    <xf numFmtId="0" fontId="40" fillId="4" borderId="41" xfId="0" applyFont="1" applyFill="1" applyBorder="1" applyAlignment="1" applyProtection="1">
      <alignment horizontal="center" vertical="center"/>
    </xf>
    <xf numFmtId="0" fontId="44" fillId="4" borderId="37" xfId="0" applyFont="1" applyFill="1" applyBorder="1" applyAlignment="1" applyProtection="1">
      <alignment horizontal="center"/>
    </xf>
    <xf numFmtId="164" fontId="44" fillId="11" borderId="8" xfId="0" applyNumberFormat="1" applyFont="1" applyFill="1" applyBorder="1" applyAlignment="1" applyProtection="1">
      <alignment horizontal="center" vertical="center"/>
    </xf>
    <xf numFmtId="165" fontId="44" fillId="11" borderId="8" xfId="0" applyNumberFormat="1" applyFont="1" applyFill="1" applyBorder="1" applyAlignment="1" applyProtection="1">
      <alignment horizontal="center" vertical="center"/>
    </xf>
    <xf numFmtId="164" fontId="44" fillId="10" borderId="8" xfId="0" applyNumberFormat="1" applyFont="1" applyFill="1" applyBorder="1" applyAlignment="1" applyProtection="1">
      <alignment horizontal="center" vertical="center"/>
    </xf>
    <xf numFmtId="164" fontId="44" fillId="12" borderId="8" xfId="0" applyNumberFormat="1" applyFont="1" applyFill="1" applyBorder="1" applyAlignment="1" applyProtection="1">
      <alignment horizontal="center" vertical="center"/>
    </xf>
    <xf numFmtId="165" fontId="44" fillId="12" borderId="8" xfId="0" applyNumberFormat="1" applyFont="1" applyFill="1" applyBorder="1" applyAlignment="1" applyProtection="1">
      <alignment horizontal="center" vertical="center"/>
    </xf>
    <xf numFmtId="164" fontId="44" fillId="14" borderId="8" xfId="0" applyNumberFormat="1" applyFont="1" applyFill="1" applyBorder="1" applyAlignment="1" applyProtection="1">
      <alignment horizontal="center" vertical="center"/>
    </xf>
    <xf numFmtId="0" fontId="44" fillId="4" borderId="49" xfId="0" applyFont="1" applyFill="1" applyBorder="1" applyAlignment="1" applyProtection="1">
      <alignment horizontal="center"/>
    </xf>
    <xf numFmtId="164" fontId="44" fillId="11" borderId="14" xfId="0" applyNumberFormat="1" applyFont="1" applyFill="1" applyBorder="1" applyAlignment="1" applyProtection="1">
      <alignment horizontal="center" vertical="center"/>
    </xf>
    <xf numFmtId="165" fontId="44" fillId="11" borderId="14" xfId="0" applyNumberFormat="1" applyFont="1" applyFill="1" applyBorder="1" applyAlignment="1" applyProtection="1">
      <alignment horizontal="center" vertical="center"/>
    </xf>
    <xf numFmtId="164" fontId="44" fillId="11" borderId="47" xfId="0" applyNumberFormat="1" applyFont="1" applyFill="1" applyBorder="1" applyAlignment="1" applyProtection="1">
      <alignment horizontal="center" vertical="center"/>
    </xf>
    <xf numFmtId="165" fontId="44" fillId="11" borderId="47" xfId="0" applyNumberFormat="1" applyFont="1" applyFill="1" applyBorder="1" applyAlignment="1" applyProtection="1">
      <alignment horizontal="center" vertical="center"/>
    </xf>
    <xf numFmtId="164" fontId="44" fillId="10" borderId="14" xfId="0" applyNumberFormat="1" applyFont="1" applyFill="1" applyBorder="1" applyAlignment="1" applyProtection="1">
      <alignment horizontal="center" vertical="center"/>
    </xf>
    <xf numFmtId="164" fontId="44" fillId="12" borderId="47" xfId="0" applyNumberFormat="1" applyFont="1" applyFill="1" applyBorder="1" applyAlignment="1" applyProtection="1">
      <alignment horizontal="center" vertical="center"/>
    </xf>
    <xf numFmtId="164" fontId="44" fillId="14" borderId="14" xfId="0" applyNumberFormat="1" applyFont="1" applyFill="1" applyBorder="1" applyAlignment="1" applyProtection="1">
      <alignment horizontal="center" vertical="center"/>
    </xf>
    <xf numFmtId="164" fontId="44" fillId="11" borderId="35" xfId="0" applyNumberFormat="1" applyFont="1" applyFill="1" applyBorder="1" applyAlignment="1" applyProtection="1">
      <alignment horizontal="center" vertical="center"/>
    </xf>
    <xf numFmtId="165" fontId="44" fillId="11" borderId="35" xfId="0" applyNumberFormat="1" applyFont="1" applyFill="1" applyBorder="1" applyAlignment="1" applyProtection="1">
      <alignment horizontal="center" vertical="center"/>
    </xf>
    <xf numFmtId="164" fontId="44" fillId="10" borderId="35" xfId="0" applyNumberFormat="1" applyFont="1" applyFill="1" applyBorder="1" applyAlignment="1" applyProtection="1">
      <alignment horizontal="center" vertical="center"/>
    </xf>
    <xf numFmtId="164" fontId="44" fillId="14" borderId="35" xfId="0" applyNumberFormat="1" applyFont="1" applyFill="1" applyBorder="1" applyAlignment="1" applyProtection="1">
      <alignment horizontal="center" vertical="center"/>
    </xf>
    <xf numFmtId="0" fontId="50" fillId="6" borderId="0" xfId="0" applyFont="1" applyFill="1" applyAlignment="1" applyProtection="1">
      <alignment horizontal="center"/>
    </xf>
    <xf numFmtId="0" fontId="0" fillId="6" borderId="0" xfId="0" applyFill="1" applyAlignment="1" applyProtection="1">
      <alignment horizontal="center" vertical="center"/>
    </xf>
    <xf numFmtId="0" fontId="0" fillId="6" borderId="0" xfId="0" applyFill="1" applyProtection="1"/>
    <xf numFmtId="0" fontId="44" fillId="6" borderId="0" xfId="0" applyFont="1" applyFill="1" applyAlignment="1" applyProtection="1">
      <alignment horizontal="center"/>
    </xf>
    <xf numFmtId="0" fontId="0" fillId="6" borderId="0" xfId="0" applyFill="1" applyBorder="1" applyProtection="1"/>
    <xf numFmtId="165" fontId="0" fillId="6" borderId="0" xfId="0" applyNumberFormat="1" applyFill="1" applyProtection="1"/>
    <xf numFmtId="164" fontId="0" fillId="6" borderId="0" xfId="0" applyNumberFormat="1" applyFill="1" applyProtection="1"/>
    <xf numFmtId="165" fontId="44" fillId="11" borderId="41" xfId="0" applyNumberFormat="1" applyFont="1" applyFill="1" applyBorder="1" applyAlignment="1" applyProtection="1">
      <alignment horizontal="center" vertical="center"/>
    </xf>
    <xf numFmtId="165" fontId="44" fillId="12" borderId="14" xfId="0" applyNumberFormat="1" applyFont="1" applyFill="1" applyBorder="1" applyAlignment="1" applyProtection="1">
      <alignment horizontal="center" vertical="center"/>
    </xf>
    <xf numFmtId="0" fontId="42" fillId="4" borderId="33" xfId="2" applyFont="1" applyFill="1" applyBorder="1" applyAlignment="1" applyProtection="1">
      <alignment horizontal="center" vertical="center"/>
    </xf>
    <xf numFmtId="0" fontId="7" fillId="6" borderId="0" xfId="0" applyFont="1" applyFill="1" applyProtection="1"/>
    <xf numFmtId="0" fontId="3" fillId="6" borderId="0" xfId="0" applyFont="1" applyFill="1" applyAlignment="1" applyProtection="1">
      <alignment horizontal="left"/>
    </xf>
    <xf numFmtId="0" fontId="3" fillId="6" borderId="0" xfId="0" applyFont="1" applyFill="1" applyAlignment="1" applyProtection="1">
      <alignment horizontal="center"/>
    </xf>
    <xf numFmtId="0" fontId="0" fillId="6" borderId="11" xfId="0" applyFill="1" applyBorder="1" applyAlignment="1" applyProtection="1">
      <alignment horizontal="center" vertical="center" wrapText="1"/>
      <protection locked="0"/>
    </xf>
    <xf numFmtId="0" fontId="0" fillId="6" borderId="0" xfId="0" applyFont="1" applyFill="1" applyAlignment="1" applyProtection="1"/>
    <xf numFmtId="0" fontId="0" fillId="6" borderId="0" xfId="0" applyFont="1" applyFill="1" applyBorder="1" applyAlignment="1" applyProtection="1"/>
    <xf numFmtId="0" fontId="40" fillId="6" borderId="0" xfId="0" applyFont="1" applyFill="1" applyAlignment="1" applyProtection="1">
      <alignment vertical="center"/>
    </xf>
    <xf numFmtId="0" fontId="40" fillId="6" borderId="0" xfId="0" applyFont="1" applyFill="1" applyBorder="1" applyAlignment="1" applyProtection="1">
      <alignment vertical="center"/>
    </xf>
    <xf numFmtId="0" fontId="44" fillId="6" borderId="38" xfId="0" applyFont="1" applyFill="1" applyBorder="1" applyProtection="1"/>
    <xf numFmtId="0" fontId="44" fillId="6" borderId="0" xfId="0" applyFont="1" applyFill="1" applyBorder="1" applyProtection="1"/>
    <xf numFmtId="0" fontId="44" fillId="6" borderId="47" xfId="0" applyFont="1" applyFill="1" applyBorder="1" applyProtection="1"/>
    <xf numFmtId="0" fontId="44" fillId="6" borderId="0" xfId="0" applyFont="1" applyFill="1" applyProtection="1"/>
    <xf numFmtId="0" fontId="44" fillId="6" borderId="38" xfId="0" applyFont="1" applyFill="1" applyBorder="1" applyAlignment="1" applyProtection="1"/>
    <xf numFmtId="0" fontId="44" fillId="6" borderId="0" xfId="0" applyFont="1" applyFill="1" applyBorder="1" applyAlignment="1" applyProtection="1"/>
    <xf numFmtId="0" fontId="44" fillId="6" borderId="0" xfId="0" applyFont="1" applyFill="1" applyAlignment="1" applyProtection="1"/>
    <xf numFmtId="0" fontId="0" fillId="6" borderId="38" xfId="0" applyFill="1" applyBorder="1" applyProtection="1"/>
    <xf numFmtId="0" fontId="0" fillId="6" borderId="47" xfId="0" applyFill="1" applyBorder="1" applyProtection="1"/>
    <xf numFmtId="0" fontId="0" fillId="6" borderId="35" xfId="0" applyFill="1" applyBorder="1" applyProtection="1"/>
    <xf numFmtId="0" fontId="51" fillId="6" borderId="0" xfId="0" applyFont="1" applyFill="1" applyAlignment="1" applyProtection="1">
      <alignment horizontal="left"/>
    </xf>
    <xf numFmtId="0" fontId="51" fillId="6" borderId="0" xfId="2" applyFont="1" applyFill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 vertical="center"/>
    </xf>
    <xf numFmtId="0" fontId="0" fillId="6" borderId="52" xfId="0" applyFill="1" applyBorder="1" applyAlignment="1" applyProtection="1">
      <alignment horizontal="center" vertical="center"/>
    </xf>
    <xf numFmtId="0" fontId="0" fillId="6" borderId="38" xfId="0" applyFill="1" applyBorder="1" applyAlignment="1" applyProtection="1">
      <alignment horizontal="center" vertical="center"/>
    </xf>
    <xf numFmtId="0" fontId="51" fillId="6" borderId="0" xfId="2" applyFont="1" applyFill="1" applyAlignment="1" applyProtection="1">
      <alignment horizontal="left"/>
    </xf>
    <xf numFmtId="0" fontId="51" fillId="6" borderId="0" xfId="2" applyFont="1" applyFill="1" applyAlignment="1" applyProtection="1">
      <alignment horizontal="center"/>
    </xf>
    <xf numFmtId="0" fontId="51" fillId="6" borderId="0" xfId="2" applyFont="1" applyFill="1" applyBorder="1" applyAlignment="1" applyProtection="1">
      <alignment horizontal="center"/>
    </xf>
    <xf numFmtId="0" fontId="0" fillId="6" borderId="53" xfId="0" applyFill="1" applyBorder="1" applyAlignment="1" applyProtection="1">
      <alignment horizontal="center" vertical="center"/>
    </xf>
    <xf numFmtId="0" fontId="0" fillId="6" borderId="54" xfId="0" applyFill="1" applyBorder="1" applyAlignment="1" applyProtection="1">
      <alignment horizontal="center" vertical="center"/>
    </xf>
    <xf numFmtId="164" fontId="0" fillId="6" borderId="0" xfId="0" applyNumberFormat="1" applyFill="1" applyAlignment="1" applyProtection="1">
      <alignment horizontal="center" vertical="center"/>
    </xf>
    <xf numFmtId="0" fontId="53" fillId="4" borderId="44" xfId="0" applyFont="1" applyFill="1" applyBorder="1" applyAlignment="1" applyProtection="1">
      <alignment horizontal="left" vertical="center"/>
    </xf>
    <xf numFmtId="0" fontId="54" fillId="4" borderId="44" xfId="0" applyFont="1" applyFill="1" applyBorder="1" applyAlignment="1" applyProtection="1">
      <alignment horizontal="center" vertical="center"/>
    </xf>
    <xf numFmtId="0" fontId="40" fillId="4" borderId="44" xfId="0" applyFont="1" applyFill="1" applyBorder="1" applyAlignment="1" applyProtection="1">
      <alignment horizontal="center" vertical="center"/>
    </xf>
    <xf numFmtId="0" fontId="40" fillId="4" borderId="0" xfId="0" applyFont="1" applyFill="1" applyAlignment="1" applyProtection="1">
      <alignment horizontal="left" vertical="center"/>
    </xf>
    <xf numFmtId="0" fontId="40" fillId="4" borderId="0" xfId="0" applyFont="1" applyFill="1" applyAlignment="1" applyProtection="1">
      <alignment horizontal="center" vertical="center"/>
    </xf>
    <xf numFmtId="0" fontId="40" fillId="4" borderId="0" xfId="0" applyFont="1" applyFill="1" applyAlignment="1" applyProtection="1">
      <alignment horizontal="center"/>
    </xf>
    <xf numFmtId="0" fontId="40" fillId="4" borderId="33" xfId="0" applyFont="1" applyFill="1" applyBorder="1" applyAlignment="1" applyProtection="1">
      <alignment horizontal="center" vertical="center"/>
    </xf>
    <xf numFmtId="2" fontId="44" fillId="4" borderId="55" xfId="0" applyNumberFormat="1" applyFont="1" applyFill="1" applyBorder="1" applyAlignment="1" applyProtection="1">
      <alignment horizontal="center"/>
    </xf>
    <xf numFmtId="2" fontId="44" fillId="11" borderId="8" xfId="0" applyNumberFormat="1" applyFont="1" applyFill="1" applyBorder="1" applyAlignment="1" applyProtection="1">
      <alignment horizontal="center"/>
    </xf>
    <xf numFmtId="164" fontId="44" fillId="11" borderId="47" xfId="0" applyNumberFormat="1" applyFont="1" applyFill="1" applyBorder="1" applyAlignment="1" applyProtection="1">
      <alignment horizontal="center"/>
    </xf>
    <xf numFmtId="165" fontId="44" fillId="11" borderId="8" xfId="0" applyNumberFormat="1" applyFont="1" applyFill="1" applyBorder="1" applyAlignment="1" applyProtection="1">
      <alignment horizontal="center"/>
    </xf>
    <xf numFmtId="2" fontId="44" fillId="12" borderId="7" xfId="0" applyNumberFormat="1" applyFont="1" applyFill="1" applyBorder="1" applyAlignment="1" applyProtection="1">
      <alignment horizontal="center"/>
    </xf>
    <xf numFmtId="164" fontId="44" fillId="12" borderId="8" xfId="0" applyNumberFormat="1" applyFont="1" applyFill="1" applyBorder="1" applyAlignment="1" applyProtection="1">
      <alignment horizontal="center"/>
    </xf>
    <xf numFmtId="165" fontId="44" fillId="12" borderId="8" xfId="0" applyNumberFormat="1" applyFont="1" applyFill="1" applyBorder="1" applyAlignment="1" applyProtection="1">
      <alignment horizontal="center"/>
    </xf>
    <xf numFmtId="165" fontId="44" fillId="12" borderId="55" xfId="0" applyNumberFormat="1" applyFont="1" applyFill="1" applyBorder="1" applyAlignment="1" applyProtection="1">
      <alignment horizontal="center"/>
    </xf>
    <xf numFmtId="2" fontId="44" fillId="13" borderId="8" xfId="0" applyNumberFormat="1" applyFont="1" applyFill="1" applyBorder="1" applyAlignment="1" applyProtection="1">
      <alignment horizontal="center"/>
    </xf>
    <xf numFmtId="164" fontId="44" fillId="13" borderId="8" xfId="0" applyNumberFormat="1" applyFont="1" applyFill="1" applyBorder="1" applyAlignment="1" applyProtection="1">
      <alignment horizontal="center"/>
    </xf>
    <xf numFmtId="165" fontId="44" fillId="13" borderId="55" xfId="0" applyNumberFormat="1" applyFont="1" applyFill="1" applyBorder="1" applyAlignment="1" applyProtection="1">
      <alignment horizontal="center"/>
    </xf>
    <xf numFmtId="0" fontId="44" fillId="4" borderId="10" xfId="0" applyFont="1" applyFill="1" applyBorder="1" applyAlignment="1" applyProtection="1">
      <alignment horizontal="center"/>
    </xf>
    <xf numFmtId="2" fontId="44" fillId="4" borderId="12" xfId="0" applyNumberFormat="1" applyFont="1" applyFill="1" applyBorder="1" applyAlignment="1" applyProtection="1">
      <alignment horizontal="center"/>
    </xf>
    <xf numFmtId="2" fontId="44" fillId="11" borderId="14" xfId="0" applyNumberFormat="1" applyFont="1" applyFill="1" applyBorder="1" applyAlignment="1" applyProtection="1">
      <alignment horizontal="center"/>
    </xf>
    <xf numFmtId="164" fontId="44" fillId="11" borderId="14" xfId="0" applyNumberFormat="1" applyFont="1" applyFill="1" applyBorder="1" applyAlignment="1" applyProtection="1">
      <alignment horizontal="center"/>
    </xf>
    <xf numFmtId="165" fontId="44" fillId="11" borderId="14" xfId="0" applyNumberFormat="1" applyFont="1" applyFill="1" applyBorder="1" applyAlignment="1" applyProtection="1">
      <alignment horizontal="center"/>
    </xf>
    <xf numFmtId="2" fontId="44" fillId="12" borderId="13" xfId="0" applyNumberFormat="1" applyFont="1" applyFill="1" applyBorder="1" applyAlignment="1" applyProtection="1">
      <alignment horizontal="center"/>
    </xf>
    <xf numFmtId="164" fontId="44" fillId="12" borderId="14" xfId="0" applyNumberFormat="1" applyFont="1" applyFill="1" applyBorder="1" applyAlignment="1" applyProtection="1">
      <alignment horizontal="center"/>
    </xf>
    <xf numFmtId="165" fontId="44" fillId="12" borderId="14" xfId="0" applyNumberFormat="1" applyFont="1" applyFill="1" applyBorder="1" applyAlignment="1" applyProtection="1">
      <alignment horizontal="center"/>
    </xf>
    <xf numFmtId="164" fontId="44" fillId="12" borderId="14" xfId="0" applyNumberFormat="1" applyFont="1" applyFill="1" applyBorder="1" applyAlignment="1" applyProtection="1">
      <alignment horizontal="center" vertical="center"/>
    </xf>
    <xf numFmtId="165" fontId="44" fillId="12" borderId="12" xfId="0" applyNumberFormat="1" applyFont="1" applyFill="1" applyBorder="1" applyAlignment="1" applyProtection="1">
      <alignment horizontal="center"/>
    </xf>
    <xf numFmtId="2" fontId="44" fillId="13" borderId="14" xfId="0" applyNumberFormat="1" applyFont="1" applyFill="1" applyBorder="1" applyAlignment="1" applyProtection="1">
      <alignment horizontal="center"/>
    </xf>
    <xf numFmtId="164" fontId="44" fillId="13" borderId="14" xfId="0" applyNumberFormat="1" applyFont="1" applyFill="1" applyBorder="1" applyAlignment="1" applyProtection="1">
      <alignment horizontal="center"/>
    </xf>
    <xf numFmtId="165" fontId="44" fillId="13" borderId="12" xfId="0" applyNumberFormat="1" applyFont="1" applyFill="1" applyBorder="1" applyAlignment="1" applyProtection="1">
      <alignment horizontal="center"/>
    </xf>
    <xf numFmtId="2" fontId="44" fillId="4" borderId="56" xfId="0" applyNumberFormat="1" applyFont="1" applyFill="1" applyBorder="1" applyAlignment="1" applyProtection="1">
      <alignment horizontal="center"/>
    </xf>
    <xf numFmtId="2" fontId="44" fillId="11" borderId="47" xfId="0" applyNumberFormat="1" applyFont="1" applyFill="1" applyBorder="1" applyAlignment="1" applyProtection="1">
      <alignment horizontal="center"/>
    </xf>
    <xf numFmtId="2" fontId="44" fillId="12" borderId="17" xfId="0" applyNumberFormat="1" applyFont="1" applyFill="1" applyBorder="1" applyAlignment="1" applyProtection="1">
      <alignment horizontal="center"/>
    </xf>
    <xf numFmtId="165" fontId="44" fillId="12" borderId="47" xfId="0" applyNumberFormat="1" applyFont="1" applyFill="1" applyBorder="1" applyAlignment="1" applyProtection="1">
      <alignment horizontal="center" vertical="center"/>
    </xf>
    <xf numFmtId="2" fontId="44" fillId="13" borderId="47" xfId="0" applyNumberFormat="1" applyFont="1" applyFill="1" applyBorder="1" applyAlignment="1" applyProtection="1">
      <alignment horizontal="center"/>
    </xf>
    <xf numFmtId="0" fontId="44" fillId="4" borderId="40" xfId="0" applyFont="1" applyFill="1" applyBorder="1" applyAlignment="1" applyProtection="1">
      <alignment horizontal="center"/>
    </xf>
    <xf numFmtId="2" fontId="44" fillId="4" borderId="33" xfId="0" applyNumberFormat="1" applyFont="1" applyFill="1" applyBorder="1" applyAlignment="1" applyProtection="1">
      <alignment horizontal="center"/>
    </xf>
    <xf numFmtId="2" fontId="44" fillId="11" borderId="0" xfId="0" applyNumberFormat="1" applyFont="1" applyFill="1" applyAlignment="1" applyProtection="1">
      <alignment horizontal="center"/>
    </xf>
    <xf numFmtId="164" fontId="44" fillId="11" borderId="35" xfId="0" applyNumberFormat="1" applyFont="1" applyFill="1" applyBorder="1" applyAlignment="1" applyProtection="1">
      <alignment horizontal="center"/>
    </xf>
    <xf numFmtId="165" fontId="44" fillId="11" borderId="35" xfId="0" applyNumberFormat="1" applyFont="1" applyFill="1" applyBorder="1" applyAlignment="1" applyProtection="1">
      <alignment horizontal="center"/>
    </xf>
    <xf numFmtId="165" fontId="44" fillId="11" borderId="0" xfId="0" applyNumberFormat="1" applyFont="1" applyFill="1" applyAlignment="1" applyProtection="1">
      <alignment horizontal="center" vertical="center"/>
    </xf>
    <xf numFmtId="164" fontId="44" fillId="11" borderId="0" xfId="0" applyNumberFormat="1" applyFont="1" applyFill="1" applyAlignment="1" applyProtection="1">
      <alignment horizontal="center" vertical="center"/>
    </xf>
    <xf numFmtId="2" fontId="44" fillId="12" borderId="25" xfId="0" applyNumberFormat="1" applyFont="1" applyFill="1" applyBorder="1" applyAlignment="1" applyProtection="1">
      <alignment horizontal="center"/>
    </xf>
    <xf numFmtId="164" fontId="44" fillId="12" borderId="35" xfId="0" applyNumberFormat="1" applyFont="1" applyFill="1" applyBorder="1" applyAlignment="1" applyProtection="1">
      <alignment horizontal="center"/>
    </xf>
    <xf numFmtId="165" fontId="44" fillId="12" borderId="35" xfId="0" applyNumberFormat="1" applyFont="1" applyFill="1" applyBorder="1" applyAlignment="1" applyProtection="1">
      <alignment horizontal="center"/>
    </xf>
    <xf numFmtId="165" fontId="44" fillId="12" borderId="0" xfId="0" applyNumberFormat="1" applyFont="1" applyFill="1" applyAlignment="1" applyProtection="1">
      <alignment horizontal="center" vertical="center"/>
    </xf>
    <xf numFmtId="165" fontId="44" fillId="12" borderId="41" xfId="0" applyNumberFormat="1" applyFont="1" applyFill="1" applyBorder="1" applyAlignment="1" applyProtection="1">
      <alignment horizontal="center" vertical="center"/>
    </xf>
    <xf numFmtId="164" fontId="44" fillId="12" borderId="0" xfId="0" applyNumberFormat="1" applyFont="1" applyFill="1" applyAlignment="1" applyProtection="1">
      <alignment horizontal="center" vertical="center"/>
    </xf>
    <xf numFmtId="165" fontId="44" fillId="12" borderId="57" xfId="0" applyNumberFormat="1" applyFont="1" applyFill="1" applyBorder="1" applyAlignment="1" applyProtection="1">
      <alignment horizontal="center"/>
    </xf>
    <xf numFmtId="2" fontId="44" fillId="13" borderId="0" xfId="0" applyNumberFormat="1" applyFont="1" applyFill="1" applyAlignment="1" applyProtection="1">
      <alignment horizontal="center"/>
    </xf>
    <xf numFmtId="165" fontId="44" fillId="13" borderId="57" xfId="0" applyNumberFormat="1" applyFont="1" applyFill="1" applyBorder="1" applyAlignment="1" applyProtection="1">
      <alignment horizontal="center"/>
    </xf>
    <xf numFmtId="0" fontId="53" fillId="4" borderId="43" xfId="0" applyFont="1" applyFill="1" applyBorder="1" applyAlignment="1" applyProtection="1">
      <alignment horizontal="left" vertical="center"/>
    </xf>
    <xf numFmtId="2" fontId="55" fillId="4" borderId="44" xfId="0" applyNumberFormat="1" applyFont="1" applyFill="1" applyBorder="1" applyAlignment="1" applyProtection="1">
      <alignment horizontal="left" vertical="center"/>
    </xf>
    <xf numFmtId="2" fontId="55" fillId="4" borderId="44" xfId="0" applyNumberFormat="1" applyFont="1" applyFill="1" applyBorder="1" applyAlignment="1" applyProtection="1">
      <alignment horizontal="center" vertical="center"/>
    </xf>
    <xf numFmtId="164" fontId="55" fillId="4" borderId="0" xfId="0" applyNumberFormat="1" applyFont="1" applyFill="1" applyAlignment="1" applyProtection="1">
      <alignment horizontal="center" vertical="center"/>
    </xf>
    <xf numFmtId="165" fontId="55" fillId="4" borderId="44" xfId="0" applyNumberFormat="1" applyFont="1" applyFill="1" applyBorder="1" applyAlignment="1" applyProtection="1">
      <alignment horizontal="center" vertical="center"/>
    </xf>
    <xf numFmtId="164" fontId="55" fillId="4" borderId="44" xfId="0" applyNumberFormat="1" applyFont="1" applyFill="1" applyBorder="1" applyAlignment="1" applyProtection="1">
      <alignment horizontal="center" vertical="center"/>
    </xf>
    <xf numFmtId="164" fontId="44" fillId="11" borderId="8" xfId="0" applyNumberFormat="1" applyFont="1" applyFill="1" applyBorder="1" applyAlignment="1" applyProtection="1">
      <alignment horizontal="center"/>
    </xf>
    <xf numFmtId="165" fontId="44" fillId="12" borderId="55" xfId="0" applyNumberFormat="1" applyFont="1" applyFill="1" applyBorder="1" applyAlignment="1" applyProtection="1">
      <alignment horizontal="center" vertical="center"/>
    </xf>
    <xf numFmtId="165" fontId="44" fillId="13" borderId="55" xfId="0" applyNumberFormat="1" applyFont="1" applyFill="1" applyBorder="1" applyAlignment="1" applyProtection="1">
      <alignment horizontal="center" vertical="center"/>
    </xf>
    <xf numFmtId="165" fontId="44" fillId="11" borderId="47" xfId="0" applyNumberFormat="1" applyFont="1" applyFill="1" applyBorder="1" applyAlignment="1" applyProtection="1">
      <alignment horizontal="center"/>
    </xf>
    <xf numFmtId="165" fontId="44" fillId="12" borderId="12" xfId="0" applyNumberFormat="1" applyFont="1" applyFill="1" applyBorder="1" applyAlignment="1" applyProtection="1">
      <alignment horizontal="center" vertical="center"/>
    </xf>
    <xf numFmtId="165" fontId="44" fillId="13" borderId="12" xfId="0" applyNumberFormat="1" applyFont="1" applyFill="1" applyBorder="1" applyAlignment="1" applyProtection="1">
      <alignment horizontal="center" vertical="center"/>
    </xf>
    <xf numFmtId="0" fontId="44" fillId="4" borderId="51" xfId="0" applyFont="1" applyFill="1" applyBorder="1" applyAlignment="1" applyProtection="1">
      <alignment horizontal="center"/>
    </xf>
    <xf numFmtId="2" fontId="44" fillId="4" borderId="57" xfId="0" applyNumberFormat="1" applyFont="1" applyFill="1" applyBorder="1" applyAlignment="1" applyProtection="1">
      <alignment horizontal="center"/>
    </xf>
    <xf numFmtId="2" fontId="44" fillId="11" borderId="35" xfId="0" applyNumberFormat="1" applyFont="1" applyFill="1" applyBorder="1" applyAlignment="1" applyProtection="1">
      <alignment horizontal="center"/>
    </xf>
    <xf numFmtId="2" fontId="44" fillId="12" borderId="34" xfId="0" applyNumberFormat="1" applyFont="1" applyFill="1" applyBorder="1" applyAlignment="1" applyProtection="1">
      <alignment horizontal="center"/>
    </xf>
    <xf numFmtId="165" fontId="44" fillId="12" borderId="57" xfId="0" applyNumberFormat="1" applyFont="1" applyFill="1" applyBorder="1" applyAlignment="1" applyProtection="1">
      <alignment horizontal="center" vertical="center"/>
    </xf>
    <xf numFmtId="2" fontId="44" fillId="13" borderId="35" xfId="0" applyNumberFormat="1" applyFont="1" applyFill="1" applyBorder="1" applyAlignment="1" applyProtection="1">
      <alignment horizontal="center"/>
    </xf>
    <xf numFmtId="164" fontId="44" fillId="13" borderId="35" xfId="0" applyNumberFormat="1" applyFont="1" applyFill="1" applyBorder="1" applyAlignment="1" applyProtection="1">
      <alignment horizontal="center"/>
    </xf>
    <xf numFmtId="165" fontId="44" fillId="13" borderId="57" xfId="0" applyNumberFormat="1" applyFont="1" applyFill="1" applyBorder="1" applyAlignment="1" applyProtection="1">
      <alignment horizontal="center" vertical="center"/>
    </xf>
    <xf numFmtId="2" fontId="21" fillId="0" borderId="11" xfId="0" applyNumberFormat="1" applyFont="1" applyBorder="1" applyAlignment="1" applyProtection="1">
      <alignment horizontal="center"/>
      <protection locked="0"/>
    </xf>
    <xf numFmtId="1" fontId="21" fillId="0" borderId="11" xfId="0" applyNumberFormat="1" applyFont="1" applyBorder="1" applyAlignment="1" applyProtection="1">
      <alignment horizontal="center"/>
      <protection locked="0"/>
    </xf>
    <xf numFmtId="0" fontId="21" fillId="6" borderId="11" xfId="0" applyNumberFormat="1" applyFont="1" applyFill="1" applyBorder="1" applyAlignment="1" applyProtection="1">
      <alignment horizontal="center"/>
      <protection locked="0"/>
    </xf>
    <xf numFmtId="0" fontId="0" fillId="6" borderId="0" xfId="0" applyFill="1" applyAlignment="1" applyProtection="1">
      <alignment horizontal="center"/>
    </xf>
    <xf numFmtId="0" fontId="52" fillId="6" borderId="0" xfId="2" applyFont="1" applyFill="1" applyAlignment="1" applyProtection="1">
      <alignment horizontal="center" vertical="center"/>
    </xf>
    <xf numFmtId="1" fontId="44" fillId="11" borderId="47" xfId="0" applyNumberFormat="1" applyFont="1" applyFill="1" applyBorder="1" applyAlignment="1" applyProtection="1">
      <alignment horizontal="center"/>
    </xf>
    <xf numFmtId="1" fontId="44" fillId="11" borderId="35" xfId="0" applyNumberFormat="1" applyFont="1" applyFill="1" applyBorder="1" applyAlignment="1" applyProtection="1">
      <alignment horizontal="center"/>
    </xf>
    <xf numFmtId="1" fontId="44" fillId="10" borderId="47" xfId="0" applyNumberFormat="1" applyFont="1" applyFill="1" applyBorder="1" applyAlignment="1" applyProtection="1">
      <alignment horizontal="center"/>
    </xf>
    <xf numFmtId="1" fontId="44" fillId="10" borderId="35" xfId="0" applyNumberFormat="1" applyFont="1" applyFill="1" applyBorder="1" applyAlignment="1" applyProtection="1">
      <alignment horizontal="center"/>
    </xf>
    <xf numFmtId="165" fontId="44" fillId="10" borderId="8" xfId="0" applyNumberFormat="1" applyFont="1" applyFill="1" applyBorder="1" applyAlignment="1" applyProtection="1">
      <alignment horizontal="center" vertical="center"/>
    </xf>
    <xf numFmtId="165" fontId="44" fillId="10" borderId="14" xfId="0" applyNumberFormat="1" applyFont="1" applyFill="1" applyBorder="1" applyAlignment="1" applyProtection="1">
      <alignment horizontal="center" vertical="center"/>
    </xf>
    <xf numFmtId="165" fontId="44" fillId="10" borderId="35" xfId="0" applyNumberFormat="1" applyFont="1" applyFill="1" applyBorder="1" applyAlignment="1" applyProtection="1">
      <alignment horizontal="center" vertical="center"/>
    </xf>
    <xf numFmtId="165" fontId="44" fillId="10" borderId="8" xfId="0" applyNumberFormat="1" applyFont="1" applyFill="1" applyBorder="1" applyAlignment="1" applyProtection="1">
      <alignment horizontal="center"/>
    </xf>
    <xf numFmtId="165" fontId="44" fillId="10" borderId="14" xfId="0" applyNumberFormat="1" applyFont="1" applyFill="1" applyBorder="1" applyAlignment="1" applyProtection="1">
      <alignment horizontal="center"/>
    </xf>
    <xf numFmtId="165" fontId="44" fillId="10" borderId="47" xfId="0" applyNumberFormat="1" applyFont="1" applyFill="1" applyBorder="1" applyAlignment="1" applyProtection="1">
      <alignment horizontal="center" vertical="center"/>
    </xf>
    <xf numFmtId="164" fontId="44" fillId="10" borderId="47" xfId="0" applyNumberFormat="1" applyFont="1" applyFill="1" applyBorder="1" applyAlignment="1" applyProtection="1">
      <alignment horizontal="center" vertical="center"/>
    </xf>
    <xf numFmtId="165" fontId="44" fillId="10" borderId="35" xfId="0" applyNumberFormat="1" applyFont="1" applyFill="1" applyBorder="1" applyAlignment="1" applyProtection="1">
      <alignment horizontal="center"/>
    </xf>
    <xf numFmtId="1" fontId="44" fillId="14" borderId="47" xfId="0" applyNumberFormat="1" applyFont="1" applyFill="1" applyBorder="1" applyAlignment="1" applyProtection="1">
      <alignment horizontal="center"/>
    </xf>
    <xf numFmtId="165" fontId="44" fillId="14" borderId="8" xfId="0" applyNumberFormat="1" applyFont="1" applyFill="1" applyBorder="1" applyAlignment="1" applyProtection="1">
      <alignment horizontal="center"/>
    </xf>
    <xf numFmtId="165" fontId="44" fillId="14" borderId="8" xfId="0" applyNumberFormat="1" applyFont="1" applyFill="1" applyBorder="1" applyAlignment="1" applyProtection="1">
      <alignment horizontal="center" vertical="center"/>
    </xf>
    <xf numFmtId="165" fontId="44" fillId="14" borderId="14" xfId="0" applyNumberFormat="1" applyFont="1" applyFill="1" applyBorder="1" applyAlignment="1" applyProtection="1">
      <alignment horizontal="center"/>
    </xf>
    <xf numFmtId="165" fontId="44" fillId="14" borderId="47" xfId="0" applyNumberFormat="1" applyFont="1" applyFill="1" applyBorder="1" applyAlignment="1" applyProtection="1">
      <alignment horizontal="center" vertical="center"/>
    </xf>
    <xf numFmtId="164" fontId="44" fillId="14" borderId="47" xfId="0" applyNumberFormat="1" applyFont="1" applyFill="1" applyBorder="1" applyAlignment="1" applyProtection="1">
      <alignment horizontal="center" vertical="center"/>
    </xf>
    <xf numFmtId="165" fontId="44" fillId="14" borderId="14" xfId="0" applyNumberFormat="1" applyFont="1" applyFill="1" applyBorder="1" applyAlignment="1" applyProtection="1">
      <alignment horizontal="center" vertical="center"/>
    </xf>
    <xf numFmtId="1" fontId="44" fillId="14" borderId="35" xfId="0" applyNumberFormat="1" applyFont="1" applyFill="1" applyBorder="1" applyAlignment="1" applyProtection="1">
      <alignment horizontal="center"/>
    </xf>
    <xf numFmtId="165" fontId="44" fillId="14" borderId="35" xfId="0" applyNumberFormat="1" applyFont="1" applyFill="1" applyBorder="1" applyAlignment="1" applyProtection="1">
      <alignment horizontal="center"/>
    </xf>
    <xf numFmtId="165" fontId="44" fillId="14" borderId="35" xfId="0" applyNumberFormat="1" applyFont="1" applyFill="1" applyBorder="1" applyAlignment="1" applyProtection="1">
      <alignment horizontal="center" vertical="center"/>
    </xf>
    <xf numFmtId="165" fontId="44" fillId="14" borderId="0" xfId="0" applyNumberFormat="1" applyFont="1" applyFill="1" applyAlignment="1" applyProtection="1">
      <alignment horizontal="center" vertical="center"/>
    </xf>
    <xf numFmtId="165" fontId="44" fillId="14" borderId="41" xfId="0" applyNumberFormat="1" applyFont="1" applyFill="1" applyBorder="1" applyAlignment="1" applyProtection="1">
      <alignment horizontal="center" vertical="center"/>
    </xf>
    <xf numFmtId="164" fontId="44" fillId="14" borderId="0" xfId="0" applyNumberFormat="1" applyFont="1" applyFill="1" applyAlignment="1" applyProtection="1">
      <alignment horizontal="center" vertical="center"/>
    </xf>
    <xf numFmtId="0" fontId="8" fillId="15" borderId="8" xfId="0" applyFont="1" applyFill="1" applyBorder="1" applyAlignment="1" applyProtection="1">
      <alignment horizontal="center"/>
    </xf>
    <xf numFmtId="0" fontId="39" fillId="15" borderId="8" xfId="0" applyFont="1" applyFill="1" applyBorder="1" applyAlignment="1" applyProtection="1">
      <alignment horizontal="center"/>
    </xf>
    <xf numFmtId="0" fontId="8" fillId="15" borderId="14" xfId="0" applyFont="1" applyFill="1" applyBorder="1" applyAlignment="1" applyProtection="1">
      <alignment horizontal="center"/>
    </xf>
    <xf numFmtId="0" fontId="39" fillId="15" borderId="14" xfId="0" applyFont="1" applyFill="1" applyBorder="1" applyAlignment="1" applyProtection="1">
      <alignment horizontal="center"/>
    </xf>
    <xf numFmtId="165" fontId="0" fillId="15" borderId="23" xfId="0" applyNumberFormat="1" applyFill="1" applyBorder="1" applyAlignment="1" applyProtection="1">
      <alignment horizontal="center"/>
    </xf>
    <xf numFmtId="165" fontId="0" fillId="15" borderId="0" xfId="0" applyNumberFormat="1" applyFill="1" applyBorder="1" applyAlignment="1" applyProtection="1">
      <alignment horizontal="center"/>
    </xf>
    <xf numFmtId="0" fontId="57" fillId="6" borderId="0" xfId="0" applyFont="1" applyFill="1" applyProtection="1"/>
    <xf numFmtId="0" fontId="57" fillId="6" borderId="0" xfId="0" applyFont="1" applyFill="1" applyAlignment="1" applyProtection="1">
      <alignment horizontal="center"/>
    </xf>
    <xf numFmtId="0" fontId="57" fillId="6" borderId="0" xfId="0" applyFont="1" applyFill="1" applyAlignment="1" applyProtection="1">
      <alignment horizontal="right"/>
    </xf>
    <xf numFmtId="0" fontId="57" fillId="6" borderId="0" xfId="0" applyFont="1" applyFill="1" applyBorder="1" applyAlignment="1" applyProtection="1">
      <alignment horizontal="center" vertical="center"/>
    </xf>
    <xf numFmtId="0" fontId="57" fillId="6" borderId="0" xfId="0" applyFont="1" applyFill="1" applyBorder="1" applyProtection="1"/>
    <xf numFmtId="0" fontId="0" fillId="6" borderId="0" xfId="0" applyFill="1" applyAlignment="1" applyProtection="1">
      <alignment horizontal="right" vertical="center"/>
    </xf>
    <xf numFmtId="0" fontId="0" fillId="6" borderId="0" xfId="0" applyFill="1" applyAlignment="1" applyProtection="1">
      <alignment horizontal="center"/>
    </xf>
    <xf numFmtId="0" fontId="33" fillId="6" borderId="0" xfId="0" applyFont="1" applyFill="1" applyAlignment="1" applyProtection="1">
      <alignment horizontal="left"/>
    </xf>
    <xf numFmtId="2" fontId="21" fillId="6" borderId="1" xfId="0" applyNumberFormat="1" applyFont="1" applyFill="1" applyBorder="1" applyAlignment="1" applyProtection="1">
      <alignment horizontal="center" vertical="center"/>
      <protection locked="0"/>
    </xf>
    <xf numFmtId="2" fontId="21" fillId="6" borderId="3" xfId="0" applyNumberFormat="1" applyFont="1" applyFill="1" applyBorder="1" applyAlignment="1" applyProtection="1">
      <alignment horizontal="center" vertical="center"/>
      <protection locked="0"/>
    </xf>
    <xf numFmtId="1" fontId="0" fillId="6" borderId="1" xfId="0" applyNumberFormat="1" applyFill="1" applyBorder="1" applyAlignment="1" applyProtection="1">
      <alignment horizontal="center" vertical="center"/>
      <protection locked="0"/>
    </xf>
    <xf numFmtId="1" fontId="0" fillId="6" borderId="3" xfId="0" applyNumberFormat="1" applyFill="1" applyBorder="1" applyAlignment="1" applyProtection="1">
      <alignment horizontal="center" vertical="center"/>
      <protection locked="0"/>
    </xf>
    <xf numFmtId="2" fontId="21" fillId="6" borderId="1" xfId="0" applyNumberFormat="1" applyFont="1" applyFill="1" applyBorder="1" applyAlignment="1" applyProtection="1">
      <alignment horizontal="center"/>
      <protection locked="0"/>
    </xf>
    <xf numFmtId="2" fontId="21" fillId="6" borderId="3" xfId="0" applyNumberFormat="1" applyFont="1" applyFill="1" applyBorder="1" applyAlignment="1" applyProtection="1">
      <alignment horizontal="center"/>
      <protection locked="0"/>
    </xf>
    <xf numFmtId="164" fontId="28" fillId="6" borderId="1" xfId="0" applyNumberFormat="1" applyFont="1" applyFill="1" applyBorder="1" applyAlignment="1" applyProtection="1">
      <alignment horizontal="center"/>
      <protection locked="0"/>
    </xf>
    <xf numFmtId="164" fontId="28" fillId="6" borderId="3" xfId="0" applyNumberFormat="1" applyFont="1" applyFill="1" applyBorder="1" applyAlignment="1" applyProtection="1">
      <alignment horizontal="center"/>
      <protection locked="0"/>
    </xf>
    <xf numFmtId="0" fontId="52" fillId="6" borderId="0" xfId="2" applyFont="1" applyFill="1" applyAlignment="1" applyProtection="1">
      <alignment horizontal="center" vertical="center"/>
    </xf>
    <xf numFmtId="0" fontId="36" fillId="2" borderId="41" xfId="0" applyFont="1" applyFill="1" applyBorder="1" applyAlignment="1" applyProtection="1">
      <alignment horizontal="center" vertical="center"/>
    </xf>
    <xf numFmtId="0" fontId="37" fillId="4" borderId="37" xfId="0" applyFont="1" applyFill="1" applyBorder="1" applyAlignment="1" applyProtection="1">
      <alignment horizontal="center"/>
    </xf>
    <xf numFmtId="0" fontId="37" fillId="4" borderId="44" xfId="0" applyFont="1" applyFill="1" applyBorder="1" applyAlignment="1" applyProtection="1">
      <alignment horizontal="center"/>
    </xf>
    <xf numFmtId="0" fontId="37" fillId="4" borderId="8" xfId="0" applyFont="1" applyFill="1" applyBorder="1" applyAlignment="1" applyProtection="1">
      <alignment horizontal="center"/>
    </xf>
    <xf numFmtId="0" fontId="37" fillId="4" borderId="8" xfId="0" applyFont="1" applyFill="1" applyBorder="1" applyAlignment="1" applyProtection="1">
      <alignment horizontal="center"/>
    </xf>
    <xf numFmtId="0" fontId="37" fillId="4" borderId="9" xfId="0" applyFont="1" applyFill="1" applyBorder="1" applyAlignment="1" applyProtection="1">
      <alignment horizontal="center"/>
    </xf>
    <xf numFmtId="0" fontId="3" fillId="9" borderId="10" xfId="0" applyFont="1" applyFill="1" applyBorder="1" applyAlignment="1" applyProtection="1">
      <alignment horizontal="center"/>
    </xf>
    <xf numFmtId="165" fontId="0" fillId="9" borderId="11" xfId="0" applyNumberFormat="1" applyFill="1" applyBorder="1" applyAlignment="1" applyProtection="1">
      <alignment horizontal="center"/>
    </xf>
    <xf numFmtId="0" fontId="0" fillId="9" borderId="14" xfId="0" applyFill="1" applyBorder="1" applyAlignment="1" applyProtection="1">
      <alignment horizontal="center"/>
    </xf>
    <xf numFmtId="0" fontId="0" fillId="9" borderId="14" xfId="0" applyFill="1" applyBorder="1" applyAlignment="1" applyProtection="1">
      <alignment horizontal="left" indent="1"/>
    </xf>
    <xf numFmtId="0" fontId="0" fillId="9" borderId="14" xfId="0" applyFill="1" applyBorder="1" applyProtection="1"/>
    <xf numFmtId="0" fontId="0" fillId="9" borderId="15" xfId="0" applyFill="1" applyBorder="1" applyProtection="1"/>
    <xf numFmtId="164" fontId="0" fillId="9" borderId="47" xfId="0" applyNumberFormat="1" applyFill="1" applyBorder="1" applyAlignment="1" applyProtection="1">
      <alignment horizontal="center"/>
    </xf>
    <xf numFmtId="0" fontId="8" fillId="9" borderId="0" xfId="0" applyFont="1" applyFill="1" applyAlignment="1" applyProtection="1">
      <alignment horizontal="center"/>
    </xf>
    <xf numFmtId="0" fontId="8" fillId="9" borderId="14" xfId="0" applyFont="1" applyFill="1" applyBorder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  <xf numFmtId="0" fontId="0" fillId="6" borderId="0" xfId="0" applyFill="1" applyProtection="1"/>
    <xf numFmtId="0" fontId="8" fillId="9" borderId="23" xfId="0" applyFont="1" applyFill="1" applyBorder="1" applyAlignment="1" applyProtection="1">
      <alignment horizontal="center"/>
    </xf>
    <xf numFmtId="0" fontId="8" fillId="9" borderId="11" xfId="0" applyFont="1" applyFill="1" applyBorder="1" applyAlignment="1" applyProtection="1">
      <alignment horizontal="center"/>
    </xf>
    <xf numFmtId="0" fontId="0" fillId="9" borderId="3" xfId="0" applyFill="1" applyBorder="1" applyAlignment="1" applyProtection="1">
      <alignment horizontal="center"/>
    </xf>
    <xf numFmtId="165" fontId="0" fillId="6" borderId="0" xfId="1" applyNumberFormat="1" applyFont="1" applyFill="1" applyAlignment="1" applyProtection="1">
      <alignment horizontal="center"/>
    </xf>
    <xf numFmtId="1" fontId="0" fillId="9" borderId="47" xfId="0" applyNumberFormat="1" applyFill="1" applyBorder="1" applyAlignment="1" applyProtection="1">
      <alignment horizontal="center"/>
    </xf>
    <xf numFmtId="0" fontId="8" fillId="0" borderId="18" xfId="0" applyFont="1" applyBorder="1" applyAlignment="1" applyProtection="1">
      <alignment horizontal="center"/>
    </xf>
    <xf numFmtId="0" fontId="8" fillId="9" borderId="47" xfId="0" applyFont="1" applyFill="1" applyBorder="1" applyAlignment="1" applyProtection="1">
      <alignment horizontal="center"/>
    </xf>
    <xf numFmtId="0" fontId="3" fillId="6" borderId="0" xfId="0" applyFont="1" applyFill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/>
    </xf>
    <xf numFmtId="2" fontId="0" fillId="9" borderId="11" xfId="0" applyNumberFormat="1" applyFill="1" applyBorder="1" applyAlignment="1" applyProtection="1">
      <alignment horizontal="center"/>
    </xf>
    <xf numFmtId="166" fontId="0" fillId="6" borderId="0" xfId="1" applyNumberFormat="1" applyFont="1" applyFill="1" applyAlignment="1" applyProtection="1">
      <alignment horizontal="center"/>
    </xf>
    <xf numFmtId="2" fontId="0" fillId="0" borderId="11" xfId="0" applyNumberFormat="1" applyBorder="1" applyAlignment="1" applyProtection="1">
      <alignment horizontal="center"/>
    </xf>
    <xf numFmtId="164" fontId="0" fillId="9" borderId="14" xfId="0" applyNumberFormat="1" applyFill="1" applyBorder="1" applyAlignment="1" applyProtection="1">
      <alignment horizontal="center"/>
    </xf>
    <xf numFmtId="0" fontId="0" fillId="9" borderId="23" xfId="0" applyFill="1" applyBorder="1" applyProtection="1"/>
    <xf numFmtId="0" fontId="3" fillId="9" borderId="48" xfId="0" applyFont="1" applyFill="1" applyBorder="1" applyAlignment="1" applyProtection="1">
      <alignment horizontal="left" indent="7"/>
    </xf>
    <xf numFmtId="2" fontId="0" fillId="0" borderId="26" xfId="0" applyNumberFormat="1" applyBorder="1" applyAlignment="1" applyProtection="1">
      <alignment horizontal="center"/>
    </xf>
    <xf numFmtId="0" fontId="3" fillId="9" borderId="48" xfId="0" applyFont="1" applyFill="1" applyBorder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0" fontId="0" fillId="9" borderId="14" xfId="0" applyFill="1" applyBorder="1" applyAlignment="1" applyProtection="1">
      <alignment horizontal="left" vertical="center" indent="1"/>
    </xf>
    <xf numFmtId="0" fontId="0" fillId="0" borderId="11" xfId="0" applyBorder="1" applyAlignment="1" applyProtection="1">
      <alignment horizontal="center" vertical="center"/>
    </xf>
    <xf numFmtId="0" fontId="0" fillId="6" borderId="0" xfId="0" applyFill="1" applyAlignment="1" applyProtection="1">
      <alignment horizontal="left"/>
    </xf>
    <xf numFmtId="164" fontId="0" fillId="6" borderId="0" xfId="0" applyNumberFormat="1" applyFill="1" applyAlignment="1" applyProtection="1">
      <alignment horizontal="center"/>
    </xf>
    <xf numFmtId="0" fontId="3" fillId="9" borderId="49" xfId="0" applyFont="1" applyFill="1" applyBorder="1" applyAlignment="1" applyProtection="1">
      <alignment horizontal="center" vertical="center"/>
    </xf>
    <xf numFmtId="0" fontId="0" fillId="9" borderId="47" xfId="0" applyFill="1" applyBorder="1" applyAlignment="1" applyProtection="1">
      <alignment horizontal="center" vertical="center"/>
    </xf>
    <xf numFmtId="0" fontId="3" fillId="9" borderId="48" xfId="0" applyFont="1" applyFill="1" applyBorder="1" applyAlignment="1" applyProtection="1">
      <alignment horizontal="left" vertical="center" indent="6"/>
    </xf>
    <xf numFmtId="165" fontId="0" fillId="0" borderId="11" xfId="0" applyNumberFormat="1" applyBorder="1" applyAlignment="1" applyProtection="1">
      <alignment horizontal="center"/>
    </xf>
    <xf numFmtId="0" fontId="0" fillId="9" borderId="47" xfId="0" applyFill="1" applyBorder="1" applyProtection="1"/>
    <xf numFmtId="0" fontId="3" fillId="9" borderId="49" xfId="0" applyFont="1" applyFill="1" applyBorder="1" applyAlignment="1" applyProtection="1">
      <alignment horizontal="left" vertical="center" indent="6"/>
    </xf>
    <xf numFmtId="165" fontId="8" fillId="9" borderId="23" xfId="0" applyNumberFormat="1" applyFont="1" applyFill="1" applyBorder="1" applyAlignment="1" applyProtection="1">
      <alignment horizontal="center"/>
    </xf>
    <xf numFmtId="165" fontId="8" fillId="0" borderId="11" xfId="0" applyNumberFormat="1" applyFont="1" applyBorder="1" applyAlignment="1" applyProtection="1">
      <alignment horizontal="center"/>
    </xf>
    <xf numFmtId="0" fontId="8" fillId="0" borderId="26" xfId="0" applyFont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center"/>
    </xf>
    <xf numFmtId="0" fontId="0" fillId="9" borderId="28" xfId="0" applyFill="1" applyBorder="1" applyProtection="1"/>
    <xf numFmtId="0" fontId="3" fillId="9" borderId="10" xfId="0" applyFont="1" applyFill="1" applyBorder="1" applyAlignment="1" applyProtection="1">
      <alignment horizontal="center" vertical="center"/>
    </xf>
    <xf numFmtId="0" fontId="8" fillId="9" borderId="14" xfId="0" applyFont="1" applyFill="1" applyBorder="1" applyAlignment="1" applyProtection="1">
      <alignment horizontal="center" vertical="center"/>
    </xf>
    <xf numFmtId="164" fontId="38" fillId="0" borderId="11" xfId="0" applyNumberFormat="1" applyFont="1" applyBorder="1" applyAlignment="1" applyProtection="1">
      <alignment horizontal="center" vertical="center"/>
    </xf>
    <xf numFmtId="164" fontId="8" fillId="9" borderId="14" xfId="0" applyNumberFormat="1" applyFont="1" applyFill="1" applyBorder="1" applyAlignment="1" applyProtection="1">
      <alignment horizontal="center" vertical="center"/>
    </xf>
    <xf numFmtId="0" fontId="0" fillId="9" borderId="14" xfId="0" applyFill="1" applyBorder="1" applyAlignment="1" applyProtection="1">
      <alignment horizontal="center" vertical="center"/>
    </xf>
    <xf numFmtId="0" fontId="0" fillId="9" borderId="14" xfId="0" applyFill="1" applyBorder="1" applyAlignment="1" applyProtection="1">
      <alignment vertical="center"/>
    </xf>
    <xf numFmtId="0" fontId="0" fillId="6" borderId="11" xfId="0" applyFill="1" applyBorder="1" applyAlignment="1" applyProtection="1">
      <alignment horizontal="center" vertical="center"/>
    </xf>
    <xf numFmtId="2" fontId="0" fillId="6" borderId="0" xfId="0" applyNumberFormat="1" applyFill="1" applyAlignment="1" applyProtection="1">
      <alignment horizontal="center"/>
    </xf>
    <xf numFmtId="0" fontId="0" fillId="9" borderId="50" xfId="0" applyFill="1" applyBorder="1" applyProtection="1"/>
    <xf numFmtId="0" fontId="0" fillId="9" borderId="47" xfId="0" applyFill="1" applyBorder="1" applyAlignment="1" applyProtection="1">
      <alignment horizontal="center"/>
    </xf>
    <xf numFmtId="0" fontId="0" fillId="6" borderId="11" xfId="0" applyFill="1" applyBorder="1" applyAlignment="1" applyProtection="1">
      <alignment horizontal="center"/>
    </xf>
    <xf numFmtId="164" fontId="8" fillId="9" borderId="47" xfId="0" applyNumberFormat="1" applyFont="1" applyFill="1" applyBorder="1" applyAlignment="1" applyProtection="1">
      <alignment horizontal="center" vertical="center"/>
    </xf>
    <xf numFmtId="2" fontId="2" fillId="0" borderId="11" xfId="0" applyNumberFormat="1" applyFont="1" applyBorder="1" applyAlignment="1" applyProtection="1">
      <alignment horizontal="center"/>
    </xf>
    <xf numFmtId="0" fontId="0" fillId="9" borderId="11" xfId="0" applyFill="1" applyBorder="1" applyAlignment="1" applyProtection="1">
      <alignment horizontal="center"/>
    </xf>
    <xf numFmtId="0" fontId="41" fillId="0" borderId="60" xfId="2" applyBorder="1" applyProtection="1"/>
    <xf numFmtId="0" fontId="0" fillId="9" borderId="10" xfId="0" applyFill="1" applyBorder="1" applyAlignment="1" applyProtection="1">
      <alignment horizontal="center"/>
    </xf>
    <xf numFmtId="0" fontId="39" fillId="9" borderId="14" xfId="0" applyFont="1" applyFill="1" applyBorder="1" applyAlignment="1" applyProtection="1">
      <alignment horizontal="center"/>
    </xf>
    <xf numFmtId="0" fontId="3" fillId="6" borderId="0" xfId="0" applyFont="1" applyFill="1" applyProtection="1"/>
    <xf numFmtId="0" fontId="37" fillId="4" borderId="37" xfId="0" applyFont="1" applyFill="1" applyBorder="1" applyAlignment="1" applyProtection="1">
      <alignment horizontal="left" vertical="center"/>
    </xf>
    <xf numFmtId="0" fontId="3" fillId="4" borderId="8" xfId="0" applyFont="1" applyFill="1" applyBorder="1" applyAlignment="1" applyProtection="1">
      <alignment horizontal="center"/>
    </xf>
    <xf numFmtId="0" fontId="3" fillId="4" borderId="8" xfId="0" applyFont="1" applyFill="1" applyBorder="1" applyProtection="1"/>
    <xf numFmtId="0" fontId="3" fillId="4" borderId="9" xfId="0" applyFont="1" applyFill="1" applyBorder="1" applyProtection="1"/>
    <xf numFmtId="0" fontId="0" fillId="9" borderId="14" xfId="0" applyFill="1" applyBorder="1" applyAlignment="1" applyProtection="1">
      <alignment horizontal="left"/>
    </xf>
    <xf numFmtId="2" fontId="0" fillId="9" borderId="14" xfId="0" applyNumberFormat="1" applyFill="1" applyBorder="1" applyAlignment="1" applyProtection="1">
      <alignment horizontal="center"/>
    </xf>
    <xf numFmtId="0" fontId="0" fillId="9" borderId="10" xfId="0" applyFill="1" applyBorder="1" applyAlignment="1" applyProtection="1">
      <alignment horizontal="center" vertical="center"/>
    </xf>
    <xf numFmtId="0" fontId="33" fillId="9" borderId="14" xfId="0" applyFont="1" applyFill="1" applyBorder="1" applyAlignment="1" applyProtection="1">
      <alignment horizontal="center" vertical="center"/>
    </xf>
    <xf numFmtId="0" fontId="0" fillId="9" borderId="14" xfId="0" applyFill="1" applyBorder="1" applyAlignment="1" applyProtection="1">
      <alignment horizontal="left" vertical="center"/>
    </xf>
    <xf numFmtId="0" fontId="0" fillId="9" borderId="15" xfId="0" applyFill="1" applyBorder="1" applyAlignment="1" applyProtection="1">
      <alignment vertical="center"/>
    </xf>
    <xf numFmtId="0" fontId="0" fillId="9" borderId="51" xfId="0" applyFill="1" applyBorder="1" applyAlignment="1" applyProtection="1">
      <alignment horizontal="center" vertical="center"/>
    </xf>
    <xf numFmtId="0" fontId="8" fillId="9" borderId="35" xfId="0" applyFont="1" applyFill="1" applyBorder="1" applyAlignment="1" applyProtection="1">
      <alignment horizontal="center" vertical="center"/>
    </xf>
    <xf numFmtId="0" fontId="33" fillId="9" borderId="35" xfId="0" applyFont="1" applyFill="1" applyBorder="1" applyAlignment="1" applyProtection="1">
      <alignment horizontal="center" vertical="center"/>
    </xf>
    <xf numFmtId="0" fontId="0" fillId="9" borderId="35" xfId="0" applyFill="1" applyBorder="1" applyAlignment="1" applyProtection="1">
      <alignment horizontal="left" vertical="center"/>
    </xf>
    <xf numFmtId="0" fontId="0" fillId="9" borderId="35" xfId="0" applyFill="1" applyBorder="1" applyAlignment="1" applyProtection="1">
      <alignment vertical="center"/>
    </xf>
    <xf numFmtId="0" fontId="0" fillId="9" borderId="36" xfId="0" applyFill="1" applyBorder="1" applyAlignment="1" applyProtection="1">
      <alignment vertical="center"/>
    </xf>
    <xf numFmtId="0" fontId="37" fillId="9" borderId="37" xfId="0" applyFont="1" applyFill="1" applyBorder="1" applyAlignment="1" applyProtection="1">
      <alignment horizontal="center"/>
    </xf>
    <xf numFmtId="0" fontId="37" fillId="9" borderId="8" xfId="0" applyFont="1" applyFill="1" applyBorder="1" applyAlignment="1" applyProtection="1">
      <alignment horizontal="center"/>
    </xf>
    <xf numFmtId="0" fontId="37" fillId="9" borderId="8" xfId="0" applyFont="1" applyFill="1" applyBorder="1" applyAlignment="1" applyProtection="1">
      <alignment horizontal="center"/>
    </xf>
    <xf numFmtId="0" fontId="37" fillId="9" borderId="9" xfId="0" applyFont="1" applyFill="1" applyBorder="1" applyAlignment="1" applyProtection="1">
      <alignment horizontal="center"/>
    </xf>
    <xf numFmtId="0" fontId="3" fillId="9" borderId="37" xfId="0" applyFont="1" applyFill="1" applyBorder="1" applyAlignment="1" applyProtection="1">
      <alignment vertical="center"/>
    </xf>
    <xf numFmtId="0" fontId="0" fillId="9" borderId="0" xfId="0" applyFill="1" applyProtection="1"/>
    <xf numFmtId="0" fontId="0" fillId="9" borderId="39" xfId="0" applyFill="1" applyBorder="1" applyProtection="1"/>
    <xf numFmtId="0" fontId="0" fillId="9" borderId="40" xfId="0" applyFill="1" applyBorder="1" applyAlignment="1" applyProtection="1">
      <alignment vertical="center"/>
    </xf>
    <xf numFmtId="2" fontId="3" fillId="9" borderId="41" xfId="0" applyNumberFormat="1" applyFont="1" applyFill="1" applyBorder="1" applyAlignment="1" applyProtection="1">
      <alignment horizontal="center" vertical="center"/>
    </xf>
    <xf numFmtId="0" fontId="0" fillId="9" borderId="41" xfId="0" applyFill="1" applyBorder="1" applyAlignment="1" applyProtection="1">
      <alignment horizontal="center" vertical="center"/>
    </xf>
    <xf numFmtId="0" fontId="8" fillId="9" borderId="35" xfId="0" applyFont="1" applyFill="1" applyBorder="1" applyAlignment="1" applyProtection="1">
      <alignment horizontal="left" vertical="center"/>
    </xf>
    <xf numFmtId="0" fontId="8" fillId="9" borderId="36" xfId="0" applyFont="1" applyFill="1" applyBorder="1" applyAlignment="1" applyProtection="1">
      <alignment horizontal="center" vertical="center"/>
    </xf>
    <xf numFmtId="0" fontId="0" fillId="9" borderId="0" xfId="0" applyFill="1" applyAlignment="1" applyProtection="1">
      <alignment horizontal="center"/>
    </xf>
    <xf numFmtId="0" fontId="0" fillId="9" borderId="2" xfId="0" applyFill="1" applyBorder="1" applyProtection="1"/>
    <xf numFmtId="0" fontId="0" fillId="9" borderId="3" xfId="0" applyFill="1" applyBorder="1" applyProtection="1"/>
    <xf numFmtId="0" fontId="47" fillId="9" borderId="37" xfId="0" applyFont="1" applyFill="1" applyBorder="1" applyAlignment="1" applyProtection="1">
      <alignment horizontal="left" vertical="center"/>
    </xf>
    <xf numFmtId="0" fontId="0" fillId="9" borderId="8" xfId="0" applyFill="1" applyBorder="1" applyProtection="1"/>
    <xf numFmtId="0" fontId="0" fillId="9" borderId="9" xfId="0" applyFill="1" applyBorder="1" applyProtection="1"/>
    <xf numFmtId="0" fontId="0" fillId="9" borderId="40" xfId="0" applyFill="1" applyBorder="1" applyProtection="1"/>
    <xf numFmtId="2" fontId="26" fillId="9" borderId="35" xfId="0" applyNumberFormat="1" applyFont="1" applyFill="1" applyBorder="1" applyAlignment="1" applyProtection="1">
      <alignment horizontal="center"/>
    </xf>
    <xf numFmtId="0" fontId="0" fillId="9" borderId="41" xfId="0" applyFill="1" applyBorder="1" applyProtection="1"/>
    <xf numFmtId="0" fontId="0" fillId="9" borderId="42" xfId="0" applyFill="1" applyBorder="1" applyProtection="1"/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/>
    </xf>
    <xf numFmtId="0" fontId="6" fillId="4" borderId="6" xfId="0" applyFont="1" applyFill="1" applyBorder="1" applyAlignment="1" applyProtection="1">
      <alignment horizontal="center"/>
    </xf>
    <xf numFmtId="0" fontId="6" fillId="4" borderId="5" xfId="0" applyFont="1" applyFill="1" applyBorder="1" applyAlignment="1" applyProtection="1">
      <alignment horizontal="center"/>
    </xf>
    <xf numFmtId="0" fontId="6" fillId="4" borderId="7" xfId="0" applyFont="1" applyFill="1" applyBorder="1" applyAlignment="1" applyProtection="1">
      <alignment horizontal="center"/>
    </xf>
    <xf numFmtId="0" fontId="0" fillId="0" borderId="8" xfId="0" applyBorder="1" applyProtection="1"/>
    <xf numFmtId="0" fontId="0" fillId="0" borderId="9" xfId="0" applyBorder="1" applyProtection="1"/>
    <xf numFmtId="0" fontId="3" fillId="5" borderId="10" xfId="0" applyFont="1" applyFill="1" applyBorder="1" applyAlignment="1" applyProtection="1">
      <alignment horizontal="center"/>
    </xf>
    <xf numFmtId="0" fontId="8" fillId="5" borderId="13" xfId="0" applyFont="1" applyFill="1" applyBorder="1" applyAlignment="1" applyProtection="1">
      <alignment horizontal="center"/>
    </xf>
    <xf numFmtId="0" fontId="8" fillId="5" borderId="12" xfId="0" applyFont="1" applyFill="1" applyBorder="1" applyAlignment="1" applyProtection="1">
      <alignment horizontal="center"/>
    </xf>
    <xf numFmtId="0" fontId="0" fillId="5" borderId="58" xfId="0" applyFill="1" applyBorder="1" applyAlignment="1" applyProtection="1">
      <alignment horizontal="center"/>
    </xf>
    <xf numFmtId="0" fontId="28" fillId="5" borderId="13" xfId="0" applyFont="1" applyFill="1" applyBorder="1" applyAlignment="1" applyProtection="1">
      <alignment horizontal="left" indent="1"/>
    </xf>
    <xf numFmtId="0" fontId="0" fillId="0" borderId="14" xfId="0" applyBorder="1" applyProtection="1"/>
    <xf numFmtId="0" fontId="0" fillId="0" borderId="15" xfId="0" applyBorder="1" applyProtection="1"/>
    <xf numFmtId="0" fontId="8" fillId="5" borderId="20" xfId="0" applyFont="1" applyFill="1" applyBorder="1" applyAlignment="1" applyProtection="1">
      <alignment horizontal="center"/>
    </xf>
    <xf numFmtId="164" fontId="0" fillId="5" borderId="46" xfId="0" applyNumberFormat="1" applyFill="1" applyBorder="1" applyAlignment="1" applyProtection="1">
      <alignment horizontal="center"/>
    </xf>
    <xf numFmtId="0" fontId="28" fillId="5" borderId="13" xfId="0" applyFont="1" applyFill="1" applyBorder="1" applyAlignment="1" applyProtection="1">
      <alignment horizontal="left" indent="1"/>
    </xf>
    <xf numFmtId="0" fontId="28" fillId="5" borderId="14" xfId="0" applyFont="1" applyFill="1" applyBorder="1" applyAlignment="1" applyProtection="1">
      <alignment horizontal="left" indent="1"/>
    </xf>
    <xf numFmtId="0" fontId="28" fillId="5" borderId="15" xfId="0" applyFont="1" applyFill="1" applyBorder="1" applyAlignment="1" applyProtection="1">
      <alignment horizontal="left" indent="1"/>
    </xf>
    <xf numFmtId="0" fontId="3" fillId="5" borderId="10" xfId="0" applyFont="1" applyFill="1" applyBorder="1" applyAlignment="1" applyProtection="1">
      <alignment horizontal="center" vertical="center"/>
    </xf>
    <xf numFmtId="0" fontId="8" fillId="5" borderId="13" xfId="0" applyFont="1" applyFill="1" applyBorder="1" applyAlignment="1" applyProtection="1">
      <alignment horizontal="center" vertical="center"/>
    </xf>
    <xf numFmtId="0" fontId="8" fillId="5" borderId="12" xfId="0" applyFont="1" applyFill="1" applyBorder="1" applyAlignment="1" applyProtection="1">
      <alignment horizontal="center" vertical="center"/>
    </xf>
    <xf numFmtId="0" fontId="0" fillId="5" borderId="20" xfId="0" applyFill="1" applyBorder="1" applyAlignment="1" applyProtection="1">
      <alignment horizontal="center" vertical="center"/>
    </xf>
    <xf numFmtId="0" fontId="0" fillId="5" borderId="13" xfId="0" applyFill="1" applyBorder="1" applyAlignment="1" applyProtection="1">
      <alignment horizontal="left" vertical="center" wrapText="1"/>
    </xf>
    <xf numFmtId="0" fontId="0" fillId="5" borderId="14" xfId="0" applyFill="1" applyBorder="1" applyAlignment="1" applyProtection="1">
      <alignment horizontal="left" vertical="center" wrapText="1"/>
    </xf>
    <xf numFmtId="0" fontId="0" fillId="5" borderId="15" xfId="0" applyFill="1" applyBorder="1" applyAlignment="1" applyProtection="1">
      <alignment horizontal="left" vertical="center" wrapText="1"/>
    </xf>
    <xf numFmtId="0" fontId="0" fillId="5" borderId="20" xfId="0" applyFill="1" applyBorder="1" applyAlignment="1" applyProtection="1">
      <alignment horizontal="center"/>
    </xf>
    <xf numFmtId="0" fontId="0" fillId="5" borderId="13" xfId="0" applyFill="1" applyBorder="1" applyAlignment="1" applyProtection="1">
      <alignment horizontal="left" indent="1"/>
    </xf>
    <xf numFmtId="0" fontId="3" fillId="5" borderId="51" xfId="0" applyFont="1" applyFill="1" applyBorder="1" applyAlignment="1" applyProtection="1">
      <alignment horizontal="center" vertical="center"/>
    </xf>
    <xf numFmtId="0" fontId="8" fillId="5" borderId="34" xfId="0" applyFont="1" applyFill="1" applyBorder="1" applyAlignment="1" applyProtection="1">
      <alignment horizontal="center" vertical="center"/>
    </xf>
    <xf numFmtId="0" fontId="8" fillId="5" borderId="57" xfId="0" applyFont="1" applyFill="1" applyBorder="1" applyAlignment="1" applyProtection="1">
      <alignment horizontal="center" vertical="center"/>
    </xf>
    <xf numFmtId="0" fontId="8" fillId="5" borderId="59" xfId="0" applyFont="1" applyFill="1" applyBorder="1" applyAlignment="1" applyProtection="1">
      <alignment horizontal="center" vertical="center"/>
    </xf>
    <xf numFmtId="0" fontId="0" fillId="5" borderId="34" xfId="0" applyFill="1" applyBorder="1" applyAlignment="1" applyProtection="1">
      <alignment horizontal="left" vertical="center" indent="1"/>
    </xf>
    <xf numFmtId="0" fontId="0" fillId="0" borderId="35" xfId="0" applyBorder="1" applyProtection="1"/>
    <xf numFmtId="0" fontId="0" fillId="0" borderId="36" xfId="0" applyBorder="1" applyProtection="1"/>
    <xf numFmtId="0" fontId="14" fillId="7" borderId="1" xfId="0" applyFont="1" applyFill="1" applyBorder="1" applyAlignment="1" applyProtection="1">
      <alignment horizontal="center" vertical="center" wrapText="1"/>
    </xf>
    <xf numFmtId="0" fontId="14" fillId="7" borderId="2" xfId="0" applyFont="1" applyFill="1" applyBorder="1" applyAlignment="1" applyProtection="1">
      <alignment horizontal="center" vertical="center" wrapText="1"/>
    </xf>
    <xf numFmtId="0" fontId="14" fillId="7" borderId="3" xfId="0" applyFont="1" applyFill="1" applyBorder="1" applyAlignment="1" applyProtection="1">
      <alignment horizontal="center" vertical="center" wrapText="1"/>
    </xf>
    <xf numFmtId="0" fontId="6" fillId="4" borderId="37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18" fillId="8" borderId="48" xfId="0" applyFont="1" applyFill="1" applyBorder="1" applyAlignment="1" applyProtection="1">
      <alignment horizontal="left" vertical="center" wrapText="1"/>
    </xf>
    <xf numFmtId="0" fontId="18" fillId="8" borderId="23" xfId="0" applyFont="1" applyFill="1" applyBorder="1" applyAlignment="1" applyProtection="1">
      <alignment horizontal="left" vertical="center" wrapText="1"/>
    </xf>
    <xf numFmtId="0" fontId="18" fillId="8" borderId="28" xfId="0" applyFont="1" applyFill="1" applyBorder="1" applyAlignment="1" applyProtection="1">
      <alignment horizontal="left" vertical="center" wrapText="1"/>
    </xf>
    <xf numFmtId="0" fontId="3" fillId="8" borderId="38" xfId="0" applyFont="1" applyFill="1" applyBorder="1" applyAlignment="1" applyProtection="1">
      <alignment horizontal="center"/>
    </xf>
    <xf numFmtId="2" fontId="0" fillId="8" borderId="0" xfId="0" applyNumberFormat="1" applyFill="1" applyAlignment="1" applyProtection="1">
      <alignment horizontal="center"/>
    </xf>
    <xf numFmtId="0" fontId="0" fillId="8" borderId="0" xfId="0" applyFill="1" applyAlignment="1" applyProtection="1">
      <alignment horizontal="center"/>
    </xf>
    <xf numFmtId="0" fontId="0" fillId="8" borderId="25" xfId="0" applyFill="1" applyBorder="1" applyAlignment="1" applyProtection="1">
      <alignment horizontal="left" indent="1"/>
    </xf>
    <xf numFmtId="0" fontId="0" fillId="8" borderId="0" xfId="0" applyFill="1" applyProtection="1"/>
    <xf numFmtId="0" fontId="0" fillId="8" borderId="39" xfId="0" applyFill="1" applyBorder="1" applyProtection="1"/>
    <xf numFmtId="2" fontId="3" fillId="8" borderId="0" xfId="0" applyNumberFormat="1" applyFont="1" applyFill="1" applyAlignment="1" applyProtection="1">
      <alignment horizontal="center"/>
    </xf>
    <xf numFmtId="0" fontId="17" fillId="8" borderId="0" xfId="0" applyFont="1" applyFill="1" applyAlignment="1" applyProtection="1">
      <alignment horizontal="center"/>
    </xf>
    <xf numFmtId="0" fontId="21" fillId="8" borderId="38" xfId="0" applyFont="1" applyFill="1" applyBorder="1" applyAlignment="1" applyProtection="1">
      <alignment horizontal="center"/>
    </xf>
    <xf numFmtId="0" fontId="22" fillId="8" borderId="0" xfId="0" applyFont="1" applyFill="1" applyAlignment="1" applyProtection="1">
      <alignment horizontal="center"/>
    </xf>
    <xf numFmtId="1" fontId="3" fillId="8" borderId="0" xfId="0" applyNumberFormat="1" applyFont="1" applyFill="1" applyAlignment="1" applyProtection="1">
      <alignment horizontal="center"/>
    </xf>
    <xf numFmtId="0" fontId="3" fillId="8" borderId="0" xfId="0" applyFont="1" applyFill="1" applyAlignment="1" applyProtection="1">
      <alignment horizontal="center"/>
    </xf>
    <xf numFmtId="0" fontId="21" fillId="8" borderId="0" xfId="0" applyFont="1" applyFill="1" applyAlignment="1" applyProtection="1">
      <alignment horizontal="center"/>
    </xf>
    <xf numFmtId="0" fontId="0" fillId="8" borderId="40" xfId="0" applyFill="1" applyBorder="1" applyAlignment="1" applyProtection="1">
      <alignment horizontal="center" vertical="center"/>
    </xf>
    <xf numFmtId="1" fontId="0" fillId="8" borderId="41" xfId="0" applyNumberFormat="1" applyFill="1" applyBorder="1" applyAlignment="1" applyProtection="1">
      <alignment horizontal="center" vertical="center"/>
    </xf>
    <xf numFmtId="0" fontId="0" fillId="8" borderId="41" xfId="0" applyFill="1" applyBorder="1" applyAlignment="1" applyProtection="1">
      <alignment horizontal="center" vertical="center"/>
    </xf>
    <xf numFmtId="0" fontId="0" fillId="8" borderId="32" xfId="0" applyFill="1" applyBorder="1" applyAlignment="1" applyProtection="1">
      <alignment horizontal="left" indent="1"/>
    </xf>
    <xf numFmtId="0" fontId="0" fillId="8" borderId="41" xfId="0" applyFill="1" applyBorder="1" applyProtection="1"/>
    <xf numFmtId="0" fontId="0" fillId="8" borderId="42" xfId="0" applyFill="1" applyBorder="1" applyProtection="1"/>
    <xf numFmtId="0" fontId="0" fillId="6" borderId="0" xfId="0" applyFont="1" applyFill="1" applyProtection="1"/>
    <xf numFmtId="0" fontId="3" fillId="6" borderId="43" xfId="0" applyFont="1" applyFill="1" applyBorder="1" applyAlignment="1" applyProtection="1">
      <alignment horizontal="center"/>
    </xf>
    <xf numFmtId="0" fontId="31" fillId="6" borderId="0" xfId="0" applyFont="1" applyFill="1" applyBorder="1" applyProtection="1"/>
    <xf numFmtId="0" fontId="55" fillId="6" borderId="0" xfId="0" applyFont="1" applyFill="1" applyBorder="1" applyAlignment="1" applyProtection="1">
      <alignment vertical="center"/>
    </xf>
    <xf numFmtId="0" fontId="0" fillId="6" borderId="0" xfId="0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 vertical="center"/>
    </xf>
    <xf numFmtId="0" fontId="50" fillId="6" borderId="0" xfId="0" applyFont="1" applyFill="1" applyBorder="1" applyAlignment="1" applyProtection="1">
      <alignment horizontal="center"/>
    </xf>
    <xf numFmtId="0" fontId="36" fillId="2" borderId="1" xfId="0" applyFont="1" applyFill="1" applyBorder="1" applyAlignment="1" applyProtection="1">
      <alignment horizontal="center" vertical="center"/>
    </xf>
    <xf numFmtId="0" fontId="36" fillId="2" borderId="2" xfId="0" applyFont="1" applyFill="1" applyBorder="1" applyAlignment="1" applyProtection="1">
      <alignment horizontal="center" vertical="center"/>
    </xf>
    <xf numFmtId="0" fontId="0" fillId="4" borderId="45" xfId="0" applyFill="1" applyBorder="1" applyProtection="1"/>
    <xf numFmtId="0" fontId="48" fillId="4" borderId="43" xfId="0" applyFont="1" applyFill="1" applyBorder="1" applyAlignment="1" applyProtection="1">
      <alignment horizontal="center"/>
    </xf>
    <xf numFmtId="164" fontId="48" fillId="4" borderId="44" xfId="0" applyNumberFormat="1" applyFont="1" applyFill="1" applyBorder="1" applyAlignment="1" applyProtection="1">
      <alignment horizontal="center"/>
    </xf>
    <xf numFmtId="0" fontId="40" fillId="4" borderId="44" xfId="0" applyFont="1" applyFill="1" applyBorder="1" applyAlignment="1" applyProtection="1">
      <alignment horizontal="center"/>
    </xf>
    <xf numFmtId="0" fontId="40" fillId="4" borderId="44" xfId="0" applyFont="1" applyFill="1" applyBorder="1" applyAlignment="1" applyProtection="1">
      <alignment horizontal="center"/>
    </xf>
    <xf numFmtId="0" fontId="48" fillId="4" borderId="44" xfId="0" applyFont="1" applyFill="1" applyBorder="1" applyAlignment="1" applyProtection="1">
      <alignment horizontal="center"/>
    </xf>
    <xf numFmtId="0" fontId="40" fillId="4" borderId="42" xfId="0" applyFont="1" applyFill="1" applyBorder="1" applyAlignment="1" applyProtection="1">
      <alignment horizontal="center" vertical="center"/>
    </xf>
    <xf numFmtId="2" fontId="44" fillId="11" borderId="49" xfId="0" applyNumberFormat="1" applyFont="1" applyFill="1" applyBorder="1" applyAlignment="1" applyProtection="1">
      <alignment horizontal="center" vertical="center"/>
    </xf>
    <xf numFmtId="2" fontId="44" fillId="12" borderId="8" xfId="0" applyNumberFormat="1" applyFont="1" applyFill="1" applyBorder="1" applyAlignment="1" applyProtection="1">
      <alignment horizontal="center" vertical="center"/>
    </xf>
    <xf numFmtId="2" fontId="44" fillId="13" borderId="37" xfId="0" applyNumberFormat="1" applyFont="1" applyFill="1" applyBorder="1" applyAlignment="1" applyProtection="1">
      <alignment horizontal="center" vertical="center"/>
    </xf>
    <xf numFmtId="164" fontId="44" fillId="13" borderId="8" xfId="0" applyNumberFormat="1" applyFont="1" applyFill="1" applyBorder="1" applyAlignment="1" applyProtection="1">
      <alignment horizontal="center" vertical="center"/>
    </xf>
    <xf numFmtId="165" fontId="44" fillId="13" borderId="8" xfId="0" applyNumberFormat="1" applyFont="1" applyFill="1" applyBorder="1" applyAlignment="1" applyProtection="1">
      <alignment horizontal="center" vertical="center"/>
    </xf>
    <xf numFmtId="2" fontId="44" fillId="12" borderId="47" xfId="0" applyNumberFormat="1" applyFont="1" applyFill="1" applyBorder="1" applyAlignment="1" applyProtection="1">
      <alignment horizontal="center" vertical="center"/>
    </xf>
    <xf numFmtId="2" fontId="44" fillId="13" borderId="49" xfId="0" applyNumberFormat="1" applyFont="1" applyFill="1" applyBorder="1" applyAlignment="1" applyProtection="1">
      <alignment horizontal="center" vertical="center"/>
    </xf>
    <xf numFmtId="164" fontId="44" fillId="13" borderId="47" xfId="0" applyNumberFormat="1" applyFont="1" applyFill="1" applyBorder="1" applyAlignment="1" applyProtection="1">
      <alignment horizontal="center" vertical="center"/>
    </xf>
    <xf numFmtId="165" fontId="44" fillId="13" borderId="14" xfId="0" applyNumberFormat="1" applyFont="1" applyFill="1" applyBorder="1" applyAlignment="1" applyProtection="1">
      <alignment horizontal="center" vertical="center"/>
    </xf>
    <xf numFmtId="0" fontId="44" fillId="4" borderId="38" xfId="0" applyFont="1" applyFill="1" applyBorder="1" applyAlignment="1" applyProtection="1">
      <alignment horizontal="center"/>
    </xf>
    <xf numFmtId="2" fontId="44" fillId="11" borderId="38" xfId="0" applyNumberFormat="1" applyFont="1" applyFill="1" applyBorder="1" applyAlignment="1" applyProtection="1">
      <alignment horizontal="center" vertical="center"/>
    </xf>
    <xf numFmtId="164" fontId="44" fillId="11" borderId="41" xfId="0" applyNumberFormat="1" applyFont="1" applyFill="1" applyBorder="1" applyAlignment="1" applyProtection="1">
      <alignment horizontal="center" vertical="center"/>
    </xf>
    <xf numFmtId="2" fontId="44" fillId="12" borderId="0" xfId="0" applyNumberFormat="1" applyFont="1" applyFill="1" applyAlignment="1" applyProtection="1">
      <alignment horizontal="center" vertical="center"/>
    </xf>
    <xf numFmtId="164" fontId="44" fillId="12" borderId="41" xfId="0" applyNumberFormat="1" applyFont="1" applyFill="1" applyBorder="1" applyAlignment="1" applyProtection="1">
      <alignment horizontal="center" vertical="center"/>
    </xf>
    <xf numFmtId="165" fontId="44" fillId="12" borderId="35" xfId="0" applyNumberFormat="1" applyFont="1" applyFill="1" applyBorder="1" applyAlignment="1" applyProtection="1">
      <alignment horizontal="center" vertical="center"/>
    </xf>
    <xf numFmtId="2" fontId="44" fillId="13" borderId="40" xfId="0" applyNumberFormat="1" applyFont="1" applyFill="1" applyBorder="1" applyAlignment="1" applyProtection="1">
      <alignment horizontal="center" vertical="center"/>
    </xf>
    <xf numFmtId="164" fontId="44" fillId="13" borderId="0" xfId="0" applyNumberFormat="1" applyFont="1" applyFill="1" applyAlignment="1" applyProtection="1">
      <alignment horizontal="center" vertical="center"/>
    </xf>
    <xf numFmtId="165" fontId="44" fillId="13" borderId="35" xfId="0" applyNumberFormat="1" applyFont="1" applyFill="1" applyBorder="1" applyAlignment="1" applyProtection="1">
      <alignment horizontal="center" vertical="center"/>
    </xf>
    <xf numFmtId="0" fontId="44" fillId="4" borderId="43" xfId="0" applyFont="1" applyFill="1" applyBorder="1" applyAlignment="1" applyProtection="1">
      <alignment horizontal="center"/>
    </xf>
    <xf numFmtId="2" fontId="44" fillId="4" borderId="43" xfId="0" applyNumberFormat="1" applyFont="1" applyFill="1" applyBorder="1" applyAlignment="1" applyProtection="1">
      <alignment horizontal="center"/>
    </xf>
    <xf numFmtId="164" fontId="44" fillId="4" borderId="0" xfId="0" applyNumberFormat="1" applyFont="1" applyFill="1" applyAlignment="1" applyProtection="1">
      <alignment horizontal="center"/>
    </xf>
    <xf numFmtId="165" fontId="44" fillId="4" borderId="0" xfId="0" applyNumberFormat="1" applyFont="1" applyFill="1" applyAlignment="1" applyProtection="1">
      <alignment horizontal="center"/>
    </xf>
    <xf numFmtId="165" fontId="44" fillId="4" borderId="44" xfId="0" applyNumberFormat="1" applyFont="1" applyFill="1" applyBorder="1" applyAlignment="1" applyProtection="1">
      <alignment horizontal="center"/>
    </xf>
    <xf numFmtId="164" fontId="44" fillId="4" borderId="44" xfId="0" applyNumberFormat="1" applyFont="1" applyFill="1" applyBorder="1" applyAlignment="1" applyProtection="1">
      <alignment horizontal="center"/>
    </xf>
    <xf numFmtId="2" fontId="44" fillId="4" borderId="44" xfId="0" applyNumberFormat="1" applyFont="1" applyFill="1" applyBorder="1" applyAlignment="1" applyProtection="1">
      <alignment horizontal="center"/>
    </xf>
    <xf numFmtId="164" fontId="40" fillId="4" borderId="41" xfId="0" applyNumberFormat="1" applyFont="1" applyFill="1" applyBorder="1" applyAlignment="1" applyProtection="1">
      <alignment horizontal="center" vertical="center"/>
    </xf>
    <xf numFmtId="0" fontId="44" fillId="4" borderId="61" xfId="0" applyFont="1" applyFill="1" applyBorder="1" applyAlignment="1" applyProtection="1">
      <alignment horizontal="center"/>
    </xf>
    <xf numFmtId="2" fontId="44" fillId="11" borderId="37" xfId="0" applyNumberFormat="1" applyFont="1" applyFill="1" applyBorder="1" applyAlignment="1" applyProtection="1">
      <alignment horizontal="center" vertical="center"/>
    </xf>
    <xf numFmtId="0" fontId="44" fillId="4" borderId="62" xfId="0" applyFont="1" applyFill="1" applyBorder="1" applyAlignment="1" applyProtection="1">
      <alignment horizontal="center"/>
    </xf>
    <xf numFmtId="0" fontId="44" fillId="4" borderId="63" xfId="0" applyFont="1" applyFill="1" applyBorder="1" applyAlignment="1" applyProtection="1">
      <alignment horizontal="center"/>
    </xf>
    <xf numFmtId="2" fontId="44" fillId="11" borderId="51" xfId="0" applyNumberFormat="1" applyFont="1" applyFill="1" applyBorder="1" applyAlignment="1" applyProtection="1">
      <alignment horizontal="center" vertical="center"/>
    </xf>
    <xf numFmtId="2" fontId="44" fillId="10" borderId="35" xfId="0" applyNumberFormat="1" applyFont="1" applyFill="1" applyBorder="1" applyAlignment="1" applyProtection="1">
      <alignment horizontal="center" vertical="center"/>
    </xf>
    <xf numFmtId="164" fontId="44" fillId="12" borderId="35" xfId="0" applyNumberFormat="1" applyFont="1" applyFill="1" applyBorder="1" applyAlignment="1" applyProtection="1">
      <alignment horizontal="center" vertical="center"/>
    </xf>
    <xf numFmtId="2" fontId="44" fillId="13" borderId="51" xfId="0" applyNumberFormat="1" applyFont="1" applyFill="1" applyBorder="1" applyAlignment="1" applyProtection="1">
      <alignment horizontal="center" vertical="center"/>
    </xf>
    <xf numFmtId="0" fontId="62" fillId="6" borderId="0" xfId="0" applyFont="1" applyFill="1" applyProtection="1"/>
    <xf numFmtId="0" fontId="58" fillId="6" borderId="1" xfId="0" applyFont="1" applyFill="1" applyBorder="1" applyAlignment="1" applyProtection="1">
      <alignment horizontal="center" vertical="center"/>
      <protection locked="0"/>
    </xf>
    <xf numFmtId="0" fontId="58" fillId="6" borderId="3" xfId="0" applyFont="1" applyFill="1" applyBorder="1" applyAlignment="1" applyProtection="1">
      <alignment horizontal="center" vertical="center"/>
      <protection locked="0"/>
    </xf>
    <xf numFmtId="0" fontId="60" fillId="6" borderId="1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43" xfId="0" applyFont="1" applyFill="1" applyBorder="1" applyAlignment="1" applyProtection="1">
      <alignment horizontal="right" vertical="center"/>
    </xf>
    <xf numFmtId="0" fontId="5" fillId="3" borderId="44" xfId="0" applyFont="1" applyFill="1" applyBorder="1" applyAlignment="1" applyProtection="1">
      <alignment horizontal="center" vertical="center"/>
    </xf>
    <xf numFmtId="0" fontId="5" fillId="3" borderId="45" xfId="0" applyFont="1" applyFill="1" applyBorder="1" applyAlignment="1" applyProtection="1">
      <alignment horizontal="center" vertical="center"/>
    </xf>
    <xf numFmtId="0" fontId="59" fillId="3" borderId="1" xfId="0" applyFont="1" applyFill="1" applyBorder="1" applyAlignment="1" applyProtection="1">
      <alignment horizontal="center" vertical="center"/>
    </xf>
    <xf numFmtId="0" fontId="59" fillId="3" borderId="2" xfId="0" applyFont="1" applyFill="1" applyBorder="1" applyAlignment="1" applyProtection="1">
      <alignment horizontal="center" vertical="center"/>
    </xf>
    <xf numFmtId="0" fontId="61" fillId="7" borderId="2" xfId="0" applyFont="1" applyFill="1" applyBorder="1" applyAlignment="1" applyProtection="1">
      <alignment horizontal="right" vertical="center" wrapText="1"/>
    </xf>
    <xf numFmtId="0" fontId="61" fillId="7" borderId="1" xfId="0" applyFont="1" applyFill="1" applyBorder="1" applyAlignment="1" applyProtection="1">
      <alignment horizontal="left" vertical="center" wrapText="1"/>
    </xf>
    <xf numFmtId="0" fontId="61" fillId="7" borderId="2" xfId="0" applyFont="1" applyFill="1" applyBorder="1" applyAlignment="1" applyProtection="1">
      <alignment horizontal="left" vertical="center" wrapText="1"/>
    </xf>
    <xf numFmtId="0" fontId="61" fillId="7" borderId="3" xfId="0" applyFont="1" applyFill="1" applyBorder="1" applyAlignment="1" applyProtection="1">
      <alignment horizontal="left" vertical="center" wrapText="1"/>
    </xf>
    <xf numFmtId="0" fontId="6" fillId="4" borderId="8" xfId="0" applyFont="1" applyFill="1" applyBorder="1" applyAlignment="1" applyProtection="1">
      <alignment horizontal="center"/>
    </xf>
    <xf numFmtId="0" fontId="6" fillId="4" borderId="9" xfId="0" applyFont="1" applyFill="1" applyBorder="1" applyAlignment="1" applyProtection="1">
      <alignment horizontal="center"/>
    </xf>
    <xf numFmtId="0" fontId="0" fillId="5" borderId="12" xfId="0" applyFill="1" applyBorder="1" applyAlignment="1" applyProtection="1">
      <alignment horizontal="center" vertical="center"/>
    </xf>
    <xf numFmtId="0" fontId="0" fillId="5" borderId="13" xfId="0" applyFill="1" applyBorder="1" applyAlignment="1" applyProtection="1">
      <alignment horizontal="left" vertical="center" indent="1"/>
    </xf>
    <xf numFmtId="0" fontId="0" fillId="5" borderId="14" xfId="0" applyFill="1" applyBorder="1" applyAlignment="1" applyProtection="1">
      <alignment horizontal="left" vertical="center" indent="1"/>
    </xf>
    <xf numFmtId="0" fontId="0" fillId="5" borderId="15" xfId="0" applyFill="1" applyBorder="1" applyAlignment="1" applyProtection="1">
      <alignment horizontal="left" vertical="center" indent="1"/>
    </xf>
    <xf numFmtId="0" fontId="3" fillId="5" borderId="16" xfId="0" applyFont="1" applyFill="1" applyBorder="1" applyAlignment="1" applyProtection="1">
      <alignment horizontal="center" vertical="center"/>
    </xf>
    <xf numFmtId="0" fontId="8" fillId="5" borderId="17" xfId="0" applyFont="1" applyFill="1" applyBorder="1" applyAlignment="1" applyProtection="1">
      <alignment horizontal="center" vertical="center"/>
    </xf>
    <xf numFmtId="0" fontId="8" fillId="5" borderId="19" xfId="0" applyFont="1" applyFill="1" applyBorder="1" applyAlignment="1" applyProtection="1">
      <alignment horizontal="center" vertical="center"/>
    </xf>
    <xf numFmtId="164" fontId="8" fillId="5" borderId="20" xfId="0" applyNumberFormat="1" applyFont="1" applyFill="1" applyBorder="1" applyAlignment="1" applyProtection="1">
      <alignment horizontal="center" vertical="center"/>
    </xf>
    <xf numFmtId="164" fontId="8" fillId="5" borderId="21" xfId="0" applyNumberFormat="1" applyFont="1" applyFill="1" applyBorder="1" applyAlignment="1" applyProtection="1">
      <alignment horizontal="center" vertical="center"/>
    </xf>
    <xf numFmtId="0" fontId="11" fillId="5" borderId="16" xfId="0" applyFont="1" applyFill="1" applyBorder="1" applyAlignment="1" applyProtection="1">
      <alignment horizontal="center" vertical="center"/>
    </xf>
    <xf numFmtId="0" fontId="8" fillId="5" borderId="20" xfId="0" applyFont="1" applyFill="1" applyBorder="1" applyAlignment="1" applyProtection="1">
      <alignment horizontal="center" vertical="center"/>
    </xf>
    <xf numFmtId="0" fontId="8" fillId="5" borderId="22" xfId="0" applyFont="1" applyFill="1" applyBorder="1" applyAlignment="1" applyProtection="1">
      <alignment horizontal="center" vertical="center"/>
    </xf>
    <xf numFmtId="0" fontId="8" fillId="5" borderId="23" xfId="0" applyFont="1" applyFill="1" applyBorder="1" applyAlignment="1" applyProtection="1">
      <alignment horizontal="center" vertical="center"/>
    </xf>
    <xf numFmtId="0" fontId="3" fillId="5" borderId="24" xfId="0" applyFont="1" applyFill="1" applyBorder="1" applyAlignment="1" applyProtection="1">
      <alignment horizontal="center" vertical="center"/>
    </xf>
    <xf numFmtId="0" fontId="8" fillId="5" borderId="25" xfId="0" applyFont="1" applyFill="1" applyBorder="1" applyAlignment="1" applyProtection="1">
      <alignment horizontal="center"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27" xfId="0" applyFill="1" applyBorder="1" applyAlignment="1" applyProtection="1">
      <alignment horizontal="left" vertical="center" indent="1"/>
    </xf>
    <xf numFmtId="0" fontId="0" fillId="5" borderId="23" xfId="0" applyFill="1" applyBorder="1" applyAlignment="1" applyProtection="1">
      <alignment horizontal="left" vertical="center" indent="1"/>
    </xf>
    <xf numFmtId="0" fontId="0" fillId="5" borderId="28" xfId="0" applyFill="1" applyBorder="1" applyAlignment="1" applyProtection="1">
      <alignment horizontal="left" vertical="center" indent="1"/>
    </xf>
    <xf numFmtId="0" fontId="8" fillId="5" borderId="29" xfId="0" applyFont="1" applyFill="1" applyBorder="1" applyAlignment="1" applyProtection="1">
      <alignment horizontal="center" vertical="center"/>
    </xf>
    <xf numFmtId="0" fontId="3" fillId="5" borderId="30" xfId="0" applyFont="1" applyFill="1" applyBorder="1" applyAlignment="1" applyProtection="1">
      <alignment horizontal="center" vertical="center"/>
    </xf>
    <xf numFmtId="0" fontId="8" fillId="5" borderId="31" xfId="0" applyFont="1" applyFill="1" applyBorder="1" applyAlignment="1" applyProtection="1">
      <alignment horizontal="center" vertical="center"/>
    </xf>
    <xf numFmtId="0" fontId="8" fillId="5" borderId="32" xfId="0" applyFont="1" applyFill="1" applyBorder="1" applyAlignment="1" applyProtection="1">
      <alignment horizontal="center" vertical="center"/>
    </xf>
    <xf numFmtId="0" fontId="0" fillId="5" borderId="33" xfId="0" applyFill="1" applyBorder="1" applyAlignment="1" applyProtection="1">
      <alignment horizontal="center" vertical="center"/>
    </xf>
    <xf numFmtId="0" fontId="0" fillId="5" borderId="35" xfId="0" applyFill="1" applyBorder="1" applyAlignment="1" applyProtection="1">
      <alignment horizontal="left" vertical="center" indent="1"/>
    </xf>
    <xf numFmtId="0" fontId="0" fillId="5" borderId="36" xfId="0" applyFill="1" applyBorder="1" applyAlignment="1" applyProtection="1">
      <alignment horizontal="left" vertical="center" indent="1"/>
    </xf>
    <xf numFmtId="0" fontId="17" fillId="7" borderId="2" xfId="0" applyFont="1" applyFill="1" applyBorder="1" applyAlignment="1" applyProtection="1">
      <alignment horizontal="center" vertical="center"/>
    </xf>
    <xf numFmtId="0" fontId="17" fillId="7" borderId="3" xfId="0" applyFont="1" applyFill="1" applyBorder="1" applyAlignment="1" applyProtection="1">
      <alignment horizontal="center" vertical="center"/>
    </xf>
    <xf numFmtId="0" fontId="18" fillId="8" borderId="38" xfId="0" applyFont="1" applyFill="1" applyBorder="1" applyAlignment="1" applyProtection="1">
      <alignment horizontal="left" vertical="center" wrapText="1"/>
    </xf>
    <xf numFmtId="0" fontId="18" fillId="8" borderId="0" xfId="0" applyFont="1" applyFill="1" applyAlignment="1" applyProtection="1">
      <alignment horizontal="left" vertical="center" wrapText="1"/>
    </xf>
    <xf numFmtId="0" fontId="18" fillId="8" borderId="39" xfId="0" applyFont="1" applyFill="1" applyBorder="1" applyAlignment="1" applyProtection="1">
      <alignment horizontal="left" vertical="center" wrapText="1"/>
    </xf>
    <xf numFmtId="0" fontId="21" fillId="8" borderId="40" xfId="0" applyFont="1" applyFill="1" applyBorder="1" applyAlignment="1" applyProtection="1">
      <alignment horizontal="center"/>
    </xf>
    <xf numFmtId="0" fontId="21" fillId="8" borderId="41" xfId="0" applyFont="1" applyFill="1" applyBorder="1" applyAlignment="1" applyProtection="1">
      <alignment horizontal="center"/>
    </xf>
    <xf numFmtId="0" fontId="0" fillId="8" borderId="41" xfId="0" applyFill="1" applyBorder="1" applyAlignment="1" applyProtection="1">
      <alignment horizontal="center"/>
    </xf>
    <xf numFmtId="0" fontId="18" fillId="8" borderId="43" xfId="0" applyFont="1" applyFill="1" applyBorder="1" applyAlignment="1" applyProtection="1">
      <alignment horizontal="left" vertical="center" wrapText="1"/>
    </xf>
    <xf numFmtId="0" fontId="18" fillId="8" borderId="44" xfId="0" applyFont="1" applyFill="1" applyBorder="1" applyAlignment="1" applyProtection="1">
      <alignment horizontal="left" vertical="center" wrapText="1"/>
    </xf>
    <xf numFmtId="0" fontId="18" fillId="8" borderId="45" xfId="0" applyFont="1" applyFill="1" applyBorder="1" applyAlignment="1" applyProtection="1">
      <alignment horizontal="left" vertical="center" wrapText="1"/>
    </xf>
    <xf numFmtId="165" fontId="18" fillId="8" borderId="0" xfId="0" applyNumberFormat="1" applyFont="1" applyFill="1" applyAlignment="1" applyProtection="1">
      <alignment horizontal="center"/>
    </xf>
    <xf numFmtId="164" fontId="0" fillId="8" borderId="0" xfId="0" applyNumberFormat="1" applyFill="1" applyAlignment="1" applyProtection="1">
      <alignment horizontal="center"/>
    </xf>
    <xf numFmtId="0" fontId="3" fillId="8" borderId="0" xfId="0" applyFont="1" applyFill="1" applyProtection="1"/>
    <xf numFmtId="165" fontId="0" fillId="8" borderId="0" xfId="0" applyNumberFormat="1" applyFill="1" applyAlignment="1" applyProtection="1">
      <alignment horizontal="center"/>
    </xf>
    <xf numFmtId="0" fontId="0" fillId="8" borderId="46" xfId="0" applyFill="1" applyBorder="1" applyAlignment="1" applyProtection="1">
      <alignment horizontal="left" indent="1"/>
    </xf>
    <xf numFmtId="0" fontId="0" fillId="8" borderId="25" xfId="0" applyFill="1" applyBorder="1" applyAlignment="1" applyProtection="1">
      <alignment horizontal="left" vertical="center" indent="1"/>
    </xf>
    <xf numFmtId="0" fontId="23" fillId="8" borderId="0" xfId="0" quotePrefix="1" applyFont="1" applyFill="1" applyAlignment="1" applyProtection="1">
      <alignment horizontal="left" vertical="center"/>
    </xf>
    <xf numFmtId="0" fontId="3" fillId="8" borderId="0" xfId="0" applyFont="1" applyFill="1" applyAlignment="1" applyProtection="1">
      <alignment horizontal="left" vertical="center"/>
    </xf>
    <xf numFmtId="164" fontId="23" fillId="8" borderId="0" xfId="0" applyNumberFormat="1" applyFont="1" applyFill="1" applyAlignment="1" applyProtection="1">
      <alignment horizontal="center" vertical="center"/>
    </xf>
    <xf numFmtId="2" fontId="21" fillId="8" borderId="0" xfId="0" applyNumberFormat="1" applyFont="1" applyFill="1" applyAlignment="1" applyProtection="1">
      <alignment horizontal="center"/>
    </xf>
    <xf numFmtId="164" fontId="8" fillId="8" borderId="0" xfId="0" applyNumberFormat="1" applyFont="1" applyFill="1" applyAlignment="1" applyProtection="1">
      <alignment horizontal="center" vertical="center"/>
    </xf>
    <xf numFmtId="0" fontId="3" fillId="8" borderId="40" xfId="0" applyFont="1" applyFill="1" applyBorder="1" applyAlignment="1" applyProtection="1">
      <alignment horizontal="center"/>
    </xf>
    <xf numFmtId="0" fontId="3" fillId="8" borderId="38" xfId="0" applyFont="1" applyFill="1" applyBorder="1" applyAlignment="1" applyProtection="1">
      <alignment horizontal="center" vertical="center"/>
    </xf>
    <xf numFmtId="2" fontId="0" fillId="8" borderId="0" xfId="0" applyNumberFormat="1" applyFill="1" applyBorder="1" applyAlignment="1" applyProtection="1">
      <alignment horizontal="center" vertical="center" wrapText="1"/>
    </xf>
    <xf numFmtId="0" fontId="0" fillId="8" borderId="0" xfId="0" applyFill="1" applyBorder="1" applyAlignment="1" applyProtection="1">
      <alignment horizontal="center" vertical="center"/>
    </xf>
    <xf numFmtId="0" fontId="0" fillId="8" borderId="46" xfId="0" applyFill="1" applyBorder="1" applyAlignment="1" applyProtection="1">
      <alignment horizontal="left" vertical="center" indent="1"/>
    </xf>
    <xf numFmtId="0" fontId="18" fillId="8" borderId="0" xfId="0" applyFont="1" applyFill="1" applyBorder="1" applyAlignment="1" applyProtection="1">
      <alignment horizontal="left" vertical="center" wrapText="1"/>
    </xf>
    <xf numFmtId="0" fontId="18" fillId="8" borderId="39" xfId="0" applyFont="1" applyFill="1" applyBorder="1" applyAlignment="1" applyProtection="1">
      <alignment horizontal="left" vertical="center" wrapText="1"/>
    </xf>
    <xf numFmtId="2" fontId="0" fillId="8" borderId="0" xfId="0" applyNumberFormat="1" applyFill="1" applyBorder="1" applyAlignment="1" applyProtection="1">
      <alignment horizontal="center" vertical="center" wrapText="1"/>
    </xf>
    <xf numFmtId="0" fontId="21" fillId="8" borderId="0" xfId="0" applyFont="1" applyFill="1" applyBorder="1" applyAlignment="1" applyProtection="1">
      <alignment horizontal="center" vertical="center"/>
    </xf>
    <xf numFmtId="0" fontId="0" fillId="8" borderId="0" xfId="0" applyFill="1" applyBorder="1" applyProtection="1"/>
    <xf numFmtId="0" fontId="26" fillId="8" borderId="38" xfId="0" applyFont="1" applyFill="1" applyBorder="1" applyAlignment="1" applyProtection="1">
      <alignment horizontal="center"/>
    </xf>
    <xf numFmtId="0" fontId="26" fillId="8" borderId="0" xfId="0" applyFont="1" applyFill="1" applyBorder="1" applyAlignment="1" applyProtection="1">
      <alignment horizontal="center" vertical="center"/>
    </xf>
    <xf numFmtId="0" fontId="28" fillId="8" borderId="46" xfId="0" applyFont="1" applyFill="1" applyBorder="1" applyAlignment="1" applyProtection="1">
      <alignment horizontal="left" vertical="center" indent="1"/>
    </xf>
    <xf numFmtId="0" fontId="28" fillId="8" borderId="0" xfId="0" applyFont="1" applyFill="1" applyBorder="1" applyProtection="1"/>
    <xf numFmtId="0" fontId="28" fillId="8" borderId="39" xfId="0" applyFont="1" applyFill="1" applyBorder="1" applyProtection="1"/>
    <xf numFmtId="2" fontId="0" fillId="8" borderId="0" xfId="0" applyNumberFormat="1" applyFill="1" applyBorder="1" applyAlignment="1" applyProtection="1">
      <alignment horizontal="center"/>
    </xf>
    <xf numFmtId="2" fontId="0" fillId="8" borderId="0" xfId="0" applyNumberFormat="1" applyFill="1" applyBorder="1" applyAlignment="1" applyProtection="1">
      <alignment horizontal="center" vertical="center"/>
    </xf>
    <xf numFmtId="0" fontId="3" fillId="8" borderId="40" xfId="0" applyFont="1" applyFill="1" applyBorder="1" applyAlignment="1" applyProtection="1">
      <alignment horizontal="center" vertical="center"/>
    </xf>
    <xf numFmtId="2" fontId="0" fillId="8" borderId="41" xfId="0" applyNumberFormat="1" applyFill="1" applyBorder="1" applyAlignment="1" applyProtection="1">
      <alignment horizontal="center" vertical="center"/>
    </xf>
    <xf numFmtId="0" fontId="0" fillId="8" borderId="32" xfId="0" applyFill="1" applyBorder="1" applyAlignment="1" applyProtection="1">
      <alignment horizontal="left" vertical="center" indent="1"/>
    </xf>
    <xf numFmtId="0" fontId="0" fillId="8" borderId="41" xfId="0" applyFill="1" applyBorder="1" applyAlignment="1" applyProtection="1">
      <alignment vertical="center"/>
    </xf>
    <xf numFmtId="0" fontId="0" fillId="8" borderId="42" xfId="0" applyFill="1" applyBorder="1" applyAlignment="1" applyProtection="1">
      <alignment vertical="center"/>
    </xf>
    <xf numFmtId="0" fontId="18" fillId="8" borderId="43" xfId="0" applyFont="1" applyFill="1" applyBorder="1" applyAlignment="1" applyProtection="1">
      <alignment horizontal="center" vertical="center"/>
    </xf>
    <xf numFmtId="0" fontId="18" fillId="8" borderId="44" xfId="0" applyFont="1" applyFill="1" applyBorder="1" applyAlignment="1" applyProtection="1">
      <alignment horizontal="center" vertical="center"/>
    </xf>
    <xf numFmtId="0" fontId="18" fillId="8" borderId="45" xfId="0" applyFont="1" applyFill="1" applyBorder="1" applyAlignment="1" applyProtection="1">
      <alignment horizontal="center" vertical="center"/>
    </xf>
    <xf numFmtId="0" fontId="18" fillId="8" borderId="38" xfId="0" applyFont="1" applyFill="1" applyBorder="1" applyAlignment="1" applyProtection="1">
      <alignment horizontal="center" vertical="center"/>
    </xf>
    <xf numFmtId="0" fontId="18" fillId="8" borderId="0" xfId="0" applyFont="1" applyFill="1" applyAlignment="1" applyProtection="1">
      <alignment horizontal="center" vertical="center"/>
    </xf>
    <xf numFmtId="0" fontId="18" fillId="8" borderId="39" xfId="0" applyFont="1" applyFill="1" applyBorder="1" applyAlignment="1" applyProtection="1">
      <alignment horizontal="center" vertical="center"/>
    </xf>
    <xf numFmtId="0" fontId="3" fillId="8" borderId="38" xfId="0" applyFont="1" applyFill="1" applyBorder="1" applyAlignment="1" applyProtection="1">
      <alignment horizontal="center" vertical="center" wrapText="1"/>
    </xf>
    <xf numFmtId="0" fontId="0" fillId="8" borderId="0" xfId="0" applyFill="1" applyAlignment="1" applyProtection="1">
      <alignment horizontal="center" vertical="center" wrapText="1"/>
    </xf>
    <xf numFmtId="0" fontId="0" fillId="8" borderId="0" xfId="0" applyFill="1" applyAlignment="1" applyProtection="1">
      <alignment horizontal="left" vertical="center" wrapText="1"/>
    </xf>
    <xf numFmtId="0" fontId="0" fillId="8" borderId="39" xfId="0" applyFill="1" applyBorder="1" applyAlignment="1" applyProtection="1">
      <alignment horizontal="left" vertical="center" wrapText="1"/>
    </xf>
    <xf numFmtId="0" fontId="31" fillId="8" borderId="3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0" fillId="0" borderId="39" xfId="0" applyBorder="1" applyAlignment="1" applyProtection="1">
      <alignment horizontal="center" wrapText="1"/>
    </xf>
    <xf numFmtId="0" fontId="8" fillId="8" borderId="0" xfId="0" applyFont="1" applyFill="1" applyAlignment="1" applyProtection="1">
      <alignment horizontal="center"/>
    </xf>
    <xf numFmtId="0" fontId="0" fillId="0" borderId="38" xfId="0" applyBorder="1" applyAlignment="1" applyProtection="1">
      <alignment horizontal="center" wrapText="1"/>
    </xf>
    <xf numFmtId="0" fontId="0" fillId="8" borderId="39" xfId="0" applyFill="1" applyBorder="1" applyAlignment="1" applyProtection="1">
      <alignment horizontal="center" vertical="center"/>
    </xf>
    <xf numFmtId="164" fontId="0" fillId="8" borderId="44" xfId="0" applyNumberFormat="1" applyFill="1" applyBorder="1" applyAlignment="1" applyProtection="1">
      <alignment horizontal="center"/>
    </xf>
    <xf numFmtId="164" fontId="0" fillId="8" borderId="0" xfId="0" applyNumberFormat="1" applyFill="1" applyBorder="1" applyAlignment="1" applyProtection="1">
      <alignment horizontal="center" vertical="center"/>
    </xf>
    <xf numFmtId="0" fontId="0" fillId="8" borderId="0" xfId="0" applyFill="1" applyBorder="1" applyAlignment="1" applyProtection="1">
      <alignment horizontal="center"/>
    </xf>
    <xf numFmtId="0" fontId="0" fillId="8" borderId="19" xfId="0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left" indent="1"/>
    </xf>
    <xf numFmtId="0" fontId="0" fillId="8" borderId="42" xfId="0" applyFill="1" applyBorder="1" applyAlignment="1" applyProtection="1">
      <alignment horizontal="center" vertical="center"/>
    </xf>
    <xf numFmtId="164" fontId="0" fillId="8" borderId="0" xfId="0" applyNumberFormat="1" applyFill="1" applyAlignment="1" applyProtection="1">
      <alignment horizontal="center" vertical="center"/>
    </xf>
    <xf numFmtId="0" fontId="0" fillId="8" borderId="33" xfId="0" applyFill="1" applyBorder="1" applyAlignment="1" applyProtection="1">
      <alignment horizontal="center"/>
    </xf>
    <xf numFmtId="0" fontId="0" fillId="8" borderId="0" xfId="0" applyFill="1" applyAlignment="1" applyProtection="1">
      <alignment horizontal="left" indent="1"/>
    </xf>
    <xf numFmtId="2" fontId="0" fillId="8" borderId="41" xfId="0" applyNumberFormat="1" applyFill="1" applyBorder="1" applyAlignment="1" applyProtection="1">
      <alignment horizontal="center"/>
    </xf>
    <xf numFmtId="0" fontId="0" fillId="8" borderId="31" xfId="0" applyFill="1" applyBorder="1" applyAlignment="1" applyProtection="1">
      <alignment horizontal="left" indent="1"/>
    </xf>
    <xf numFmtId="1" fontId="0" fillId="8" borderId="0" xfId="0" applyNumberFormat="1" applyFill="1" applyAlignment="1" applyProtection="1">
      <alignment horizontal="center" vertical="center"/>
    </xf>
    <xf numFmtId="0" fontId="0" fillId="8" borderId="0" xfId="0" applyFill="1" applyAlignment="1" applyProtection="1">
      <alignment horizontal="center" vertical="center"/>
    </xf>
    <xf numFmtId="164" fontId="0" fillId="8" borderId="0" xfId="0" applyNumberFormat="1" applyFill="1" applyAlignment="1" applyProtection="1">
      <alignment horizontal="center" vertical="center"/>
    </xf>
    <xf numFmtId="0" fontId="8" fillId="8" borderId="0" xfId="0" applyFont="1" applyFill="1" applyAlignment="1" applyProtection="1">
      <alignment horizontal="center" vertical="center"/>
    </xf>
    <xf numFmtId="2" fontId="0" fillId="8" borderId="0" xfId="0" applyNumberFormat="1" applyFill="1" applyAlignment="1" applyProtection="1">
      <alignment horizontal="center" vertical="center"/>
    </xf>
    <xf numFmtId="0" fontId="21" fillId="8" borderId="0" xfId="0" applyFont="1" applyFill="1" applyAlignment="1" applyProtection="1">
      <alignment horizontal="center" vertical="center"/>
    </xf>
    <xf numFmtId="0" fontId="21" fillId="8" borderId="38" xfId="0" applyFont="1" applyFill="1" applyBorder="1" applyAlignment="1" applyProtection="1">
      <alignment horizontal="center" vertical="center"/>
    </xf>
    <xf numFmtId="2" fontId="21" fillId="8" borderId="0" xfId="0" applyNumberFormat="1" applyFont="1" applyFill="1" applyAlignment="1" applyProtection="1">
      <alignment horizontal="center" vertical="center"/>
    </xf>
    <xf numFmtId="1" fontId="21" fillId="8" borderId="41" xfId="0" applyNumberFormat="1" applyFont="1" applyFill="1" applyBorder="1" applyAlignment="1" applyProtection="1">
      <alignment horizontal="center" vertical="center"/>
    </xf>
    <xf numFmtId="0" fontId="21" fillId="8" borderId="41" xfId="0" applyFont="1" applyFill="1" applyBorder="1" applyAlignment="1" applyProtection="1">
      <alignment horizontal="center" vertical="center"/>
    </xf>
    <xf numFmtId="0" fontId="0" fillId="8" borderId="31" xfId="0" applyFill="1" applyBorder="1" applyAlignment="1" applyProtection="1">
      <alignment horizontal="left" vertical="center" indent="1"/>
    </xf>
    <xf numFmtId="0" fontId="41" fillId="6" borderId="0" xfId="2" applyFill="1" applyProtection="1"/>
  </cellXfs>
  <cellStyles count="3">
    <cellStyle name="Normal" xfId="0" builtinId="0"/>
    <cellStyle name="Normal 2" xfId="2" xr:uid="{00000000-0005-0000-0000-000001000000}"/>
    <cellStyle name="Percent" xfId="1" builtinId="5"/>
  </cellStyles>
  <dxfs count="2">
    <dxf>
      <font>
        <b/>
        <i val="0"/>
        <u val="none"/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u val="none"/>
        <color theme="0"/>
      </font>
      <fill>
        <patternFill>
          <bgColor rgb="FFFF0000"/>
        </patternFill>
      </fill>
      <border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Predicted Efficiency </a:t>
            </a:r>
            <a:r>
              <a:rPr lang="en-US" baseline="0"/>
              <a:t>vs. Iout at 25</a:t>
            </a:r>
            <a:r>
              <a:rPr lang="en-US" baseline="0">
                <a:latin typeface="Calibri"/>
                <a:cs typeface="Calibri"/>
              </a:rPr>
              <a:t>°</a:t>
            </a:r>
            <a:r>
              <a:rPr lang="en-US" baseline="0"/>
              <a:t>C</a:t>
            </a:r>
            <a:endParaRPr lang="en-US"/>
          </a:p>
        </c:rich>
      </c:tx>
      <c:layout>
        <c:manualLayout>
          <c:xMode val="edge"/>
          <c:yMode val="edge"/>
          <c:x val="0.28876765404324461"/>
          <c:y val="1.80560612374706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48306357366707"/>
          <c:y val="9.5288366062676766E-2"/>
          <c:w val="0.84591275211319283"/>
          <c:h val="0.76452025424533065"/>
        </c:manualLayout>
      </c:layout>
      <c:scatterChart>
        <c:scatterStyle val="smoothMarker"/>
        <c:varyColors val="0"/>
        <c:ser>
          <c:idx val="12"/>
          <c:order val="0"/>
          <c:tx>
            <c:strRef>
              <c:f>Efficiency!$C$2</c:f>
              <c:strCache>
                <c:ptCount val="1"/>
                <c:pt idx="0">
                  <c:v>6.0</c:v>
                </c:pt>
              </c:strCache>
            </c:strRef>
          </c:tx>
          <c:spPr>
            <a:ln w="381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Efficiency!$B$4:$B$11</c:f>
              <c:numCache>
                <c:formatCode>0.00</c:formatCode>
                <c:ptCount val="8"/>
                <c:pt idx="0">
                  <c:v>0.1</c:v>
                </c:pt>
                <c:pt idx="1">
                  <c:v>0.22857142857142859</c:v>
                </c:pt>
                <c:pt idx="2">
                  <c:v>0.35714285714285721</c:v>
                </c:pt>
                <c:pt idx="3">
                  <c:v>0.48571428571428577</c:v>
                </c:pt>
                <c:pt idx="4">
                  <c:v>0.61428571428571432</c:v>
                </c:pt>
                <c:pt idx="5">
                  <c:v>0.74285714285714288</c:v>
                </c:pt>
                <c:pt idx="6">
                  <c:v>0.87142857142857144</c:v>
                </c:pt>
                <c:pt idx="7">
                  <c:v>1</c:v>
                </c:pt>
              </c:numCache>
            </c:numRef>
          </c:xVal>
          <c:yVal>
            <c:numRef>
              <c:f>Efficiency!$W$4:$W$11</c:f>
              <c:numCache>
                <c:formatCode>0.0</c:formatCode>
                <c:ptCount val="8"/>
                <c:pt idx="0">
                  <c:v>93.70188779960813</c:v>
                </c:pt>
                <c:pt idx="1">
                  <c:v>95.016529093433803</c:v>
                </c:pt>
                <c:pt idx="2">
                  <c:v>94.321268179443393</c:v>
                </c:pt>
                <c:pt idx="3">
                  <c:v>93.148051574984009</c:v>
                </c:pt>
                <c:pt idx="4">
                  <c:v>91.731517123095799</c:v>
                </c:pt>
                <c:pt idx="5">
                  <c:v>90.146192797554932</c:v>
                </c:pt>
                <c:pt idx="6">
                  <c:v>88.501655994202906</c:v>
                </c:pt>
                <c:pt idx="7">
                  <c:v>86.680550194878023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8A-4497-9CC2-E99D86D24E03}"/>
            </c:ext>
          </c:extLst>
        </c:ser>
        <c:ser>
          <c:idx val="13"/>
          <c:order val="1"/>
          <c:tx>
            <c:strRef>
              <c:f>Efficiency!$Y$2</c:f>
              <c:strCache>
                <c:ptCount val="1"/>
                <c:pt idx="0">
                  <c:v>12.0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Efficiency!$X$4:$X$11</c:f>
              <c:numCache>
                <c:formatCode>0.00</c:formatCode>
                <c:ptCount val="8"/>
                <c:pt idx="0">
                  <c:v>0.1</c:v>
                </c:pt>
                <c:pt idx="1">
                  <c:v>0.22857142857142859</c:v>
                </c:pt>
                <c:pt idx="2">
                  <c:v>0.35714285714285721</c:v>
                </c:pt>
                <c:pt idx="3">
                  <c:v>0.48571428571428577</c:v>
                </c:pt>
                <c:pt idx="4">
                  <c:v>0.61428571428571432</c:v>
                </c:pt>
                <c:pt idx="5">
                  <c:v>0.74285714285714288</c:v>
                </c:pt>
                <c:pt idx="6">
                  <c:v>0.87142857142857144</c:v>
                </c:pt>
                <c:pt idx="7">
                  <c:v>1</c:v>
                </c:pt>
              </c:numCache>
            </c:numRef>
          </c:xVal>
          <c:yVal>
            <c:numRef>
              <c:f>Efficiency!$AS$4:$AS$11</c:f>
              <c:numCache>
                <c:formatCode>0.0</c:formatCode>
                <c:ptCount val="8"/>
                <c:pt idx="0">
                  <c:v>93.127859923457407</c:v>
                </c:pt>
                <c:pt idx="1">
                  <c:v>95.127713510971745</c:v>
                </c:pt>
                <c:pt idx="2">
                  <c:v>94.93028597372475</c:v>
                </c:pt>
                <c:pt idx="3">
                  <c:v>94.240636478099788</c:v>
                </c:pt>
                <c:pt idx="4">
                  <c:v>93.339094888231799</c:v>
                </c:pt>
                <c:pt idx="5">
                  <c:v>92.302793570753948</c:v>
                </c:pt>
                <c:pt idx="6">
                  <c:v>91.152458662410481</c:v>
                </c:pt>
                <c:pt idx="7">
                  <c:v>89.885628521382415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8A-4497-9CC2-E99D86D24E03}"/>
            </c:ext>
          </c:extLst>
        </c:ser>
        <c:ser>
          <c:idx val="14"/>
          <c:order val="2"/>
          <c:tx>
            <c:strRef>
              <c:f>Efficiency!$AU$2</c:f>
              <c:strCache>
                <c:ptCount val="1"/>
                <c:pt idx="0">
                  <c:v>16.0</c:v>
                </c:pt>
              </c:strCache>
            </c:strRef>
          </c:tx>
          <c:spPr>
            <a:ln w="381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Efficiency!$AT$4:$AT$11</c:f>
              <c:numCache>
                <c:formatCode>0.00</c:formatCode>
                <c:ptCount val="8"/>
                <c:pt idx="0">
                  <c:v>0.1</c:v>
                </c:pt>
                <c:pt idx="1">
                  <c:v>0.22857142857142859</c:v>
                </c:pt>
                <c:pt idx="2">
                  <c:v>0.35714285714285721</c:v>
                </c:pt>
                <c:pt idx="3">
                  <c:v>0.48571428571428577</c:v>
                </c:pt>
                <c:pt idx="4">
                  <c:v>0.61428571428571432</c:v>
                </c:pt>
                <c:pt idx="5">
                  <c:v>0.74285714285714288</c:v>
                </c:pt>
                <c:pt idx="6">
                  <c:v>0.87142857142857144</c:v>
                </c:pt>
                <c:pt idx="7">
                  <c:v>1</c:v>
                </c:pt>
              </c:numCache>
            </c:numRef>
          </c:xVal>
          <c:yVal>
            <c:numRef>
              <c:f>Efficiency!$BO$4:$BO$11</c:f>
              <c:numCache>
                <c:formatCode>0.0</c:formatCode>
                <c:ptCount val="8"/>
                <c:pt idx="0">
                  <c:v>92.764451468464685</c:v>
                </c:pt>
                <c:pt idx="1">
                  <c:v>94.937710281384042</c:v>
                </c:pt>
                <c:pt idx="2">
                  <c:v>94.864525376545643</c:v>
                </c:pt>
                <c:pt idx="3">
                  <c:v>94.292130032253851</c:v>
                </c:pt>
                <c:pt idx="4">
                  <c:v>93.510870628429046</c:v>
                </c:pt>
                <c:pt idx="5">
                  <c:v>92.603610476176783</c:v>
                </c:pt>
                <c:pt idx="6">
                  <c:v>91.596413322438792</c:v>
                </c:pt>
                <c:pt idx="7">
                  <c:v>90.493119898983878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8A-4497-9CC2-E99D86D24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4898880"/>
        <c:axId val="-54896160"/>
      </c:scatterChart>
      <c:valAx>
        <c:axId val="-54898880"/>
        <c:scaling>
          <c:orientation val="minMax"/>
          <c:min val="0.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Output Current (A)</a:t>
                </a:r>
              </a:p>
            </c:rich>
          </c:tx>
          <c:layout>
            <c:manualLayout>
              <c:xMode val="edge"/>
              <c:yMode val="edge"/>
              <c:x val="0.42932121716960758"/>
              <c:y val="0.9331984495315568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4896160"/>
        <c:crosses val="autoZero"/>
        <c:crossBetween val="midCat"/>
        <c:majorUnit val="0.25"/>
        <c:minorUnit val="0.125"/>
      </c:valAx>
      <c:valAx>
        <c:axId val="-54896160"/>
        <c:scaling>
          <c:orientation val="minMax"/>
          <c:max val="10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Predicted</a:t>
                </a:r>
                <a:r>
                  <a:rPr lang="en-US" baseline="0"/>
                  <a:t> Efficiency (%)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9673478315211067E-2"/>
              <c:y val="0.2792664096904208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4898880"/>
        <c:crosses val="autoZero"/>
        <c:crossBetween val="midCat"/>
        <c:majorUnit val="5"/>
        <c:minorUnit val="2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281655514710146"/>
          <c:y val="0.75060557541727901"/>
          <c:w val="0.43487775368285148"/>
          <c:h val="9.660320663259711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Predicted Efficiency </a:t>
            </a:r>
            <a:r>
              <a:rPr lang="en-US" baseline="0"/>
              <a:t>vs. Iout at High Ambient</a:t>
            </a:r>
            <a:endParaRPr lang="en-US"/>
          </a:p>
        </c:rich>
      </c:tx>
      <c:layout>
        <c:manualLayout>
          <c:xMode val="edge"/>
          <c:yMode val="edge"/>
          <c:x val="0.23718035245594304"/>
          <c:y val="1.80559856796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48306357366707"/>
          <c:y val="9.5288366062676766E-2"/>
          <c:w val="0.84591275211319306"/>
          <c:h val="0.764520254245330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Efficiency!$C$2</c:f>
              <c:strCache>
                <c:ptCount val="1"/>
                <c:pt idx="0">
                  <c:v>6.0</c:v>
                </c:pt>
              </c:strCache>
            </c:strRef>
          </c:tx>
          <c:spPr>
            <a:ln w="381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Efficiency!$B$14:$B$21</c:f>
              <c:numCache>
                <c:formatCode>0.00</c:formatCode>
                <c:ptCount val="8"/>
                <c:pt idx="0">
                  <c:v>0.1</c:v>
                </c:pt>
                <c:pt idx="1">
                  <c:v>0.22857142857142859</c:v>
                </c:pt>
                <c:pt idx="2">
                  <c:v>0.35714285714285721</c:v>
                </c:pt>
                <c:pt idx="3">
                  <c:v>0.48571428571428577</c:v>
                </c:pt>
                <c:pt idx="4">
                  <c:v>0.61428571428571432</c:v>
                </c:pt>
                <c:pt idx="5">
                  <c:v>0.74285714285714288</c:v>
                </c:pt>
                <c:pt idx="6">
                  <c:v>0.87142857142857144</c:v>
                </c:pt>
                <c:pt idx="7">
                  <c:v>1</c:v>
                </c:pt>
              </c:numCache>
            </c:numRef>
          </c:xVal>
          <c:yVal>
            <c:numRef>
              <c:f>Efficiency!$W$14:$W$21</c:f>
              <c:numCache>
                <c:formatCode>0.0</c:formatCode>
                <c:ptCount val="8"/>
                <c:pt idx="0">
                  <c:v>93.239976793353549</c:v>
                </c:pt>
                <c:pt idx="1">
                  <c:v>93.952977825965377</c:v>
                </c:pt>
                <c:pt idx="2">
                  <c:v>92.638311848933228</c:v>
                </c:pt>
                <c:pt idx="3">
                  <c:v>90.824674154641897</c:v>
                </c:pt>
                <c:pt idx="4">
                  <c:v>88.870302487707249</c:v>
                </c:pt>
                <c:pt idx="5">
                  <c:v>86.816036386533611</c:v>
                </c:pt>
                <c:pt idx="6">
                  <c:v>84.250960253309898</c:v>
                </c:pt>
                <c:pt idx="7">
                  <c:v>81.323490923131317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F6-4935-B296-55CBF9C0A29C}"/>
            </c:ext>
          </c:extLst>
        </c:ser>
        <c:ser>
          <c:idx val="4"/>
          <c:order val="1"/>
          <c:tx>
            <c:strRef>
              <c:f>Efficiency!$Y$2</c:f>
              <c:strCache>
                <c:ptCount val="1"/>
                <c:pt idx="0">
                  <c:v>12.0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Efficiency!$X$14:$X$21</c:f>
              <c:numCache>
                <c:formatCode>0.00</c:formatCode>
                <c:ptCount val="8"/>
                <c:pt idx="0">
                  <c:v>0.1</c:v>
                </c:pt>
                <c:pt idx="1">
                  <c:v>0.22857142857142859</c:v>
                </c:pt>
                <c:pt idx="2">
                  <c:v>0.35714285714285721</c:v>
                </c:pt>
                <c:pt idx="3">
                  <c:v>0.48571428571428577</c:v>
                </c:pt>
                <c:pt idx="4">
                  <c:v>0.61428571428571432</c:v>
                </c:pt>
                <c:pt idx="5">
                  <c:v>0.74285714285714288</c:v>
                </c:pt>
                <c:pt idx="6">
                  <c:v>0.87142857142857144</c:v>
                </c:pt>
                <c:pt idx="7">
                  <c:v>1</c:v>
                </c:pt>
              </c:numCache>
            </c:numRef>
          </c:xVal>
          <c:yVal>
            <c:numRef>
              <c:f>Efficiency!$AS$14:$AS$21</c:f>
              <c:numCache>
                <c:formatCode>0.0</c:formatCode>
                <c:ptCount val="8"/>
                <c:pt idx="0">
                  <c:v>92.527548100661363</c:v>
                </c:pt>
                <c:pt idx="1">
                  <c:v>94.230927022220342</c:v>
                </c:pt>
                <c:pt idx="2">
                  <c:v>93.636463960347527</c:v>
                </c:pt>
                <c:pt idx="3">
                  <c:v>92.525039809850469</c:v>
                </c:pt>
                <c:pt idx="4">
                  <c:v>91.185972447556978</c:v>
                </c:pt>
                <c:pt idx="5">
                  <c:v>89.694747520310941</c:v>
                </c:pt>
                <c:pt idx="6">
                  <c:v>88.066552523698576</c:v>
                </c:pt>
                <c:pt idx="7">
                  <c:v>86.290452196584653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F6-4935-B296-55CBF9C0A29C}"/>
            </c:ext>
          </c:extLst>
        </c:ser>
        <c:ser>
          <c:idx val="2"/>
          <c:order val="2"/>
          <c:tx>
            <c:strRef>
              <c:f>Efficiency!$AU$2</c:f>
              <c:strCache>
                <c:ptCount val="1"/>
                <c:pt idx="0">
                  <c:v>16.0</c:v>
                </c:pt>
              </c:strCache>
            </c:strRef>
          </c:tx>
          <c:spPr>
            <a:ln w="381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Efficiency!$AT$14:$AT$21</c:f>
              <c:numCache>
                <c:formatCode>0.00</c:formatCode>
                <c:ptCount val="8"/>
                <c:pt idx="0">
                  <c:v>0.1</c:v>
                </c:pt>
                <c:pt idx="1">
                  <c:v>0.22857142857142859</c:v>
                </c:pt>
                <c:pt idx="2">
                  <c:v>0.35714285714285721</c:v>
                </c:pt>
                <c:pt idx="3">
                  <c:v>0.48571428571428577</c:v>
                </c:pt>
                <c:pt idx="4">
                  <c:v>0.61428571428571432</c:v>
                </c:pt>
                <c:pt idx="5">
                  <c:v>0.74285714285714288</c:v>
                </c:pt>
                <c:pt idx="6">
                  <c:v>0.87142857142857144</c:v>
                </c:pt>
                <c:pt idx="7">
                  <c:v>1</c:v>
                </c:pt>
              </c:numCache>
            </c:numRef>
          </c:xVal>
          <c:yVal>
            <c:numRef>
              <c:f>Efficiency!$BO$14:$BO$21</c:f>
              <c:numCache>
                <c:formatCode>0.0</c:formatCode>
                <c:ptCount val="8"/>
                <c:pt idx="0">
                  <c:v>92.121352427476822</c:v>
                </c:pt>
                <c:pt idx="1">
                  <c:v>94.07932228035952</c:v>
                </c:pt>
                <c:pt idx="2">
                  <c:v>93.66532210372398</c:v>
                </c:pt>
                <c:pt idx="3">
                  <c:v>92.723666392772245</c:v>
                </c:pt>
                <c:pt idx="4">
                  <c:v>91.558782088728691</c:v>
                </c:pt>
                <c:pt idx="5">
                  <c:v>90.254865480334701</c:v>
                </c:pt>
                <c:pt idx="6">
                  <c:v>88.835368671225666</c:v>
                </c:pt>
                <c:pt idx="7">
                  <c:v>87.299385459844231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1F6-4935-B296-55CBF9C0A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4893440"/>
        <c:axId val="-54898336"/>
      </c:scatterChart>
      <c:valAx>
        <c:axId val="-54893440"/>
        <c:scaling>
          <c:orientation val="minMax"/>
          <c:min val="0.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Output Current (A)</a:t>
                </a:r>
              </a:p>
            </c:rich>
          </c:tx>
          <c:layout>
            <c:manualLayout>
              <c:xMode val="edge"/>
              <c:yMode val="edge"/>
              <c:x val="0.42932121716960786"/>
              <c:y val="0.9331984495315568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4898336"/>
        <c:crosses val="autoZero"/>
        <c:crossBetween val="midCat"/>
        <c:majorUnit val="0.25"/>
        <c:minorUnit val="0.125"/>
      </c:valAx>
      <c:valAx>
        <c:axId val="-54898336"/>
        <c:scaling>
          <c:orientation val="minMax"/>
          <c:max val="10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Predicted</a:t>
                </a:r>
                <a:r>
                  <a:rPr lang="en-US" baseline="0"/>
                  <a:t> Efficiency (%)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9673478315211081E-2"/>
              <c:y val="0.2792664096904208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4893440"/>
        <c:crosses val="autoZero"/>
        <c:crossBetween val="midCat"/>
        <c:majorUnit val="5"/>
        <c:minorUnit val="2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9348833973072956"/>
          <c:y val="0.73953348927618345"/>
          <c:w val="0.36222188721255205"/>
          <c:h val="0.1076752435234298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Predicted TJ</a:t>
            </a:r>
            <a:r>
              <a:rPr lang="en-US" baseline="0"/>
              <a:t> vs. Iout at 25</a:t>
            </a:r>
            <a:r>
              <a:rPr lang="en-US" baseline="0">
                <a:latin typeface="Calibri"/>
                <a:cs typeface="Calibri"/>
              </a:rPr>
              <a:t>°</a:t>
            </a:r>
            <a:r>
              <a:rPr lang="en-US" baseline="0"/>
              <a:t>C</a:t>
            </a:r>
            <a:endParaRPr lang="en-US"/>
          </a:p>
        </c:rich>
      </c:tx>
      <c:layout>
        <c:manualLayout>
          <c:xMode val="edge"/>
          <c:yMode val="edge"/>
          <c:x val="0.33043432070991491"/>
          <c:y val="2.0845385958554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48306357366707"/>
          <c:y val="9.5288366062676766E-2"/>
          <c:w val="0.84591275211319306"/>
          <c:h val="0.764520254245330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Efficiency!$C$2</c:f>
              <c:strCache>
                <c:ptCount val="1"/>
                <c:pt idx="0">
                  <c:v>6.0</c:v>
                </c:pt>
              </c:strCache>
            </c:strRef>
          </c:tx>
          <c:spPr>
            <a:ln w="381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Efficiency!$B$4:$B$11</c:f>
              <c:numCache>
                <c:formatCode>0.00</c:formatCode>
                <c:ptCount val="8"/>
                <c:pt idx="0">
                  <c:v>0.1</c:v>
                </c:pt>
                <c:pt idx="1">
                  <c:v>0.22857142857142859</c:v>
                </c:pt>
                <c:pt idx="2">
                  <c:v>0.35714285714285721</c:v>
                </c:pt>
                <c:pt idx="3">
                  <c:v>0.48571428571428577</c:v>
                </c:pt>
                <c:pt idx="4">
                  <c:v>0.61428571428571432</c:v>
                </c:pt>
                <c:pt idx="5">
                  <c:v>0.74285714285714288</c:v>
                </c:pt>
                <c:pt idx="6">
                  <c:v>0.87142857142857144</c:v>
                </c:pt>
                <c:pt idx="7">
                  <c:v>1</c:v>
                </c:pt>
              </c:numCache>
            </c:numRef>
          </c:xVal>
          <c:yVal>
            <c:numRef>
              <c:f>Efficiency!$N$4:$N$11</c:f>
              <c:numCache>
                <c:formatCode>0.0</c:formatCode>
                <c:ptCount val="8"/>
                <c:pt idx="0">
                  <c:v>26.147704959765193</c:v>
                </c:pt>
                <c:pt idx="1">
                  <c:v>27.005682756175965</c:v>
                </c:pt>
                <c:pt idx="2">
                  <c:v>28.555904343303474</c:v>
                </c:pt>
                <c:pt idx="3">
                  <c:v>30.877151319886178</c:v>
                </c:pt>
                <c:pt idx="4">
                  <c:v>34.088051227820202</c:v>
                </c:pt>
                <c:pt idx="5">
                  <c:v>38.318682170416473</c:v>
                </c:pt>
                <c:pt idx="6">
                  <c:v>43.56406791729772</c:v>
                </c:pt>
                <c:pt idx="7">
                  <c:v>50.153182997888948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F4-444C-AE83-E4E9335216C9}"/>
            </c:ext>
          </c:extLst>
        </c:ser>
        <c:ser>
          <c:idx val="1"/>
          <c:order val="1"/>
          <c:tx>
            <c:strRef>
              <c:f>Efficiency!$Y$2</c:f>
              <c:strCache>
                <c:ptCount val="1"/>
                <c:pt idx="0">
                  <c:v>12.0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Efficiency!$X$4:$X$11</c:f>
              <c:numCache>
                <c:formatCode>0.00</c:formatCode>
                <c:ptCount val="8"/>
                <c:pt idx="0">
                  <c:v>0.1</c:v>
                </c:pt>
                <c:pt idx="1">
                  <c:v>0.22857142857142859</c:v>
                </c:pt>
                <c:pt idx="2">
                  <c:v>0.35714285714285721</c:v>
                </c:pt>
                <c:pt idx="3">
                  <c:v>0.48571428571428577</c:v>
                </c:pt>
                <c:pt idx="4">
                  <c:v>0.61428571428571432</c:v>
                </c:pt>
                <c:pt idx="5">
                  <c:v>0.74285714285714288</c:v>
                </c:pt>
                <c:pt idx="6">
                  <c:v>0.87142857142857144</c:v>
                </c:pt>
                <c:pt idx="7">
                  <c:v>1</c:v>
                </c:pt>
              </c:numCache>
            </c:numRef>
          </c:xVal>
          <c:yVal>
            <c:numRef>
              <c:f>Efficiency!$AJ$4:$AJ$11</c:f>
              <c:numCache>
                <c:formatCode>0.0</c:formatCode>
                <c:ptCount val="8"/>
                <c:pt idx="0">
                  <c:v>26.261193712431282</c:v>
                </c:pt>
                <c:pt idx="1">
                  <c:v>26.957184998249563</c:v>
                </c:pt>
                <c:pt idx="2">
                  <c:v>28.137046496043812</c:v>
                </c:pt>
                <c:pt idx="3">
                  <c:v>29.835281881813849</c:v>
                </c:pt>
                <c:pt idx="4">
                  <c:v>32.101669930632575</c:v>
                </c:pt>
                <c:pt idx="5">
                  <c:v>35.005376023784109</c:v>
                </c:pt>
                <c:pt idx="6">
                  <c:v>38.641203335417131</c:v>
                </c:pt>
                <c:pt idx="7">
                  <c:v>43.139245470274389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4F4-444C-AE83-E4E9335216C9}"/>
            </c:ext>
          </c:extLst>
        </c:ser>
        <c:ser>
          <c:idx val="6"/>
          <c:order val="2"/>
          <c:tx>
            <c:strRef>
              <c:f>Efficiency!$AU$2</c:f>
              <c:strCache>
                <c:ptCount val="1"/>
                <c:pt idx="0">
                  <c:v>16.0</c:v>
                </c:pt>
              </c:strCache>
            </c:strRef>
          </c:tx>
          <c:spPr>
            <a:ln w="381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Efficiency!$AT$4:$AT$11</c:f>
              <c:numCache>
                <c:formatCode>0.00</c:formatCode>
                <c:ptCount val="8"/>
                <c:pt idx="0">
                  <c:v>0.1</c:v>
                </c:pt>
                <c:pt idx="1">
                  <c:v>0.22857142857142859</c:v>
                </c:pt>
                <c:pt idx="2">
                  <c:v>0.35714285714285721</c:v>
                </c:pt>
                <c:pt idx="3">
                  <c:v>0.48571428571428577</c:v>
                </c:pt>
                <c:pt idx="4">
                  <c:v>0.61428571428571432</c:v>
                </c:pt>
                <c:pt idx="5">
                  <c:v>0.74285714285714288</c:v>
                </c:pt>
                <c:pt idx="6">
                  <c:v>0.87142857142857144</c:v>
                </c:pt>
                <c:pt idx="7">
                  <c:v>1</c:v>
                </c:pt>
              </c:numCache>
            </c:numRef>
          </c:xVal>
          <c:yVal>
            <c:numRef>
              <c:f>Efficiency!$BF$4:$BF$11</c:f>
              <c:numCache>
                <c:formatCode>0.0</c:formatCode>
                <c:ptCount val="8"/>
                <c:pt idx="0">
                  <c:v>26.333767807050307</c:v>
                </c:pt>
                <c:pt idx="1">
                  <c:v>27.040131701172385</c:v>
                </c:pt>
                <c:pt idx="2">
                  <c:v>28.182014976853992</c:v>
                </c:pt>
                <c:pt idx="3">
                  <c:v>29.786774336237947</c:v>
                </c:pt>
                <c:pt idx="4">
                  <c:v>31.893456408307781</c:v>
                </c:pt>
                <c:pt idx="5">
                  <c:v>34.555478586902389</c:v>
                </c:pt>
                <c:pt idx="6">
                  <c:v>37.844581808306614</c:v>
                </c:pt>
                <c:pt idx="7">
                  <c:v>41.856690228279263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4F4-444C-AE83-E4E9335216C9}"/>
            </c:ext>
          </c:extLst>
        </c:ser>
        <c:ser>
          <c:idx val="3"/>
          <c:order val="3"/>
          <c:tx>
            <c:v>TSD_min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3.5</c:v>
              </c:pt>
            </c:numLit>
          </c:xVal>
          <c:yVal>
            <c:numLit>
              <c:formatCode>General</c:formatCode>
              <c:ptCount val="2"/>
              <c:pt idx="0">
                <c:v>150</c:v>
              </c:pt>
              <c:pt idx="1">
                <c:v>150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3-04F4-444C-AE83-E4E933521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4902688"/>
        <c:axId val="-54903232"/>
      </c:scatterChart>
      <c:valAx>
        <c:axId val="-54902688"/>
        <c:scaling>
          <c:orientation val="minMax"/>
          <c:max val="1.1000000000000001"/>
          <c:min val="0.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Output Current (A)</a:t>
                </a:r>
              </a:p>
            </c:rich>
          </c:tx>
          <c:layout>
            <c:manualLayout>
              <c:xMode val="edge"/>
              <c:yMode val="edge"/>
              <c:x val="0.42932121716960786"/>
              <c:y val="0.9331984495315568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4903232"/>
        <c:crosses val="autoZero"/>
        <c:crossBetween val="midCat"/>
        <c:majorUnit val="0.25"/>
        <c:minorUnit val="0.125"/>
      </c:valAx>
      <c:valAx>
        <c:axId val="-54903232"/>
        <c:scaling>
          <c:orientation val="minMax"/>
          <c:max val="16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Predicted</a:t>
                </a:r>
                <a:r>
                  <a:rPr lang="en-US" baseline="0"/>
                  <a:t> Junction Temp (</a:t>
                </a:r>
                <a:r>
                  <a:rPr lang="en-US" baseline="30000"/>
                  <a:t>O</a:t>
                </a:r>
                <a:r>
                  <a:rPr lang="en-US" baseline="0"/>
                  <a:t>C)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7528433945757546E-3"/>
              <c:y val="0.265319408295720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4902688"/>
        <c:crosses val="autoZero"/>
        <c:crossBetween val="midCat"/>
        <c:majorUnit val="2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5231663052427727"/>
          <c:y val="0.17047244094488193"/>
          <c:w val="0.46706960598997288"/>
          <c:h val="0.1204645449959423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Predicted TJ</a:t>
            </a:r>
            <a:r>
              <a:rPr lang="en-US" baseline="0"/>
              <a:t> vs. Iout at High Ambient</a:t>
            </a:r>
            <a:endParaRPr lang="en-US"/>
          </a:p>
        </c:rich>
      </c:tx>
      <c:layout>
        <c:manualLayout>
          <c:xMode val="edge"/>
          <c:yMode val="edge"/>
          <c:x val="0.33043432070991491"/>
          <c:y val="2.0845385958554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48306357366707"/>
          <c:y val="9.5288366062676766E-2"/>
          <c:w val="0.84591275211319306"/>
          <c:h val="0.764520254245330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Efficiency!$C$2</c:f>
              <c:strCache>
                <c:ptCount val="1"/>
                <c:pt idx="0">
                  <c:v>6.0</c:v>
                </c:pt>
              </c:strCache>
            </c:strRef>
          </c:tx>
          <c:spPr>
            <a:ln w="381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Efficiency!$B$4:$B$11</c:f>
              <c:numCache>
                <c:formatCode>0.00</c:formatCode>
                <c:ptCount val="8"/>
                <c:pt idx="0">
                  <c:v>0.1</c:v>
                </c:pt>
                <c:pt idx="1">
                  <c:v>0.22857142857142859</c:v>
                </c:pt>
                <c:pt idx="2">
                  <c:v>0.35714285714285721</c:v>
                </c:pt>
                <c:pt idx="3">
                  <c:v>0.48571428571428577</c:v>
                </c:pt>
                <c:pt idx="4">
                  <c:v>0.61428571428571432</c:v>
                </c:pt>
                <c:pt idx="5">
                  <c:v>0.74285714285714288</c:v>
                </c:pt>
                <c:pt idx="6">
                  <c:v>0.87142857142857144</c:v>
                </c:pt>
                <c:pt idx="7">
                  <c:v>1</c:v>
                </c:pt>
              </c:numCache>
            </c:numRef>
          </c:xVal>
          <c:yVal>
            <c:numRef>
              <c:f>Efficiency!$N$14:$N$21</c:f>
              <c:numCache>
                <c:formatCode>0.0</c:formatCode>
                <c:ptCount val="8"/>
                <c:pt idx="0">
                  <c:v>81.236345659069315</c:v>
                </c:pt>
                <c:pt idx="1">
                  <c:v>82.461960786393448</c:v>
                </c:pt>
                <c:pt idx="2">
                  <c:v>84.709221899249812</c:v>
                </c:pt>
                <c:pt idx="3">
                  <c:v>88.115394074900635</c:v>
                </c:pt>
                <c:pt idx="4">
                  <c:v>92.704358603424751</c:v>
                </c:pt>
                <c:pt idx="5">
                  <c:v>98.616759637510398</c:v>
                </c:pt>
                <c:pt idx="6">
                  <c:v>106.12735071227334</c:v>
                </c:pt>
                <c:pt idx="7">
                  <c:v>115.56558416930893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302-4FD3-AD98-679E667A7035}"/>
            </c:ext>
          </c:extLst>
        </c:ser>
        <c:ser>
          <c:idx val="1"/>
          <c:order val="1"/>
          <c:tx>
            <c:strRef>
              <c:f>Efficiency!$Y$2</c:f>
              <c:strCache>
                <c:ptCount val="1"/>
                <c:pt idx="0">
                  <c:v>12.0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Efficiency!$X$4:$X$11</c:f>
              <c:numCache>
                <c:formatCode>0.00</c:formatCode>
                <c:ptCount val="8"/>
                <c:pt idx="0">
                  <c:v>0.1</c:v>
                </c:pt>
                <c:pt idx="1">
                  <c:v>0.22857142857142859</c:v>
                </c:pt>
                <c:pt idx="2">
                  <c:v>0.35714285714285721</c:v>
                </c:pt>
                <c:pt idx="3">
                  <c:v>0.48571428571428577</c:v>
                </c:pt>
                <c:pt idx="4">
                  <c:v>0.61428571428571432</c:v>
                </c:pt>
                <c:pt idx="5">
                  <c:v>0.74285714285714288</c:v>
                </c:pt>
                <c:pt idx="6">
                  <c:v>0.87142857142857144</c:v>
                </c:pt>
                <c:pt idx="7">
                  <c:v>1</c:v>
                </c:pt>
              </c:numCache>
            </c:numRef>
          </c:xVal>
          <c:yVal>
            <c:numRef>
              <c:f>Efficiency!$AJ$14:$AJ$21</c:f>
              <c:numCache>
                <c:formatCode>0.0</c:formatCode>
                <c:ptCount val="8"/>
                <c:pt idx="0">
                  <c:v>81.378813221790338</c:v>
                </c:pt>
                <c:pt idx="1">
                  <c:v>82.338182243623393</c:v>
                </c:pt>
                <c:pt idx="2">
                  <c:v>84.000603886944077</c:v>
                </c:pt>
                <c:pt idx="3">
                  <c:v>86.421644168656826</c:v>
                </c:pt>
                <c:pt idx="4">
                  <c:v>89.681173370022421</c:v>
                </c:pt>
                <c:pt idx="5">
                  <c:v>93.890852690460932</c:v>
                </c:pt>
                <c:pt idx="6">
                  <c:v>99.205785139176427</c:v>
                </c:pt>
                <c:pt idx="7">
                  <c:v>105.8431492654418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302-4FD3-AD98-679E667A7035}"/>
            </c:ext>
          </c:extLst>
        </c:ser>
        <c:ser>
          <c:idx val="6"/>
          <c:order val="2"/>
          <c:tx>
            <c:strRef>
              <c:f>Efficiency!$AU$2</c:f>
              <c:strCache>
                <c:ptCount val="1"/>
                <c:pt idx="0">
                  <c:v>16.0</c:v>
                </c:pt>
              </c:strCache>
            </c:strRef>
          </c:tx>
          <c:spPr>
            <a:ln w="381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Efficiency!$AT$4:$AT$11</c:f>
              <c:numCache>
                <c:formatCode>0.00</c:formatCode>
                <c:ptCount val="8"/>
                <c:pt idx="0">
                  <c:v>0.1</c:v>
                </c:pt>
                <c:pt idx="1">
                  <c:v>0.22857142857142859</c:v>
                </c:pt>
                <c:pt idx="2">
                  <c:v>0.35714285714285721</c:v>
                </c:pt>
                <c:pt idx="3">
                  <c:v>0.48571428571428577</c:v>
                </c:pt>
                <c:pt idx="4">
                  <c:v>0.61428571428571432</c:v>
                </c:pt>
                <c:pt idx="5">
                  <c:v>0.74285714285714288</c:v>
                </c:pt>
                <c:pt idx="6">
                  <c:v>0.87142857142857144</c:v>
                </c:pt>
                <c:pt idx="7">
                  <c:v>1</c:v>
                </c:pt>
              </c:numCache>
            </c:numRef>
          </c:xVal>
          <c:yVal>
            <c:numRef>
              <c:f>Efficiency!$BF$14:$BF$21</c:f>
              <c:numCache>
                <c:formatCode>0.0</c:formatCode>
                <c:ptCount val="8"/>
                <c:pt idx="0">
                  <c:v>81.461028349744794</c:v>
                </c:pt>
                <c:pt idx="1">
                  <c:v>82.405605402743589</c:v>
                </c:pt>
                <c:pt idx="2">
                  <c:v>83.980341264800643</c:v>
                </c:pt>
                <c:pt idx="3">
                  <c:v>86.227842467971342</c:v>
                </c:pt>
                <c:pt idx="4">
                  <c:v>89.208749446443207</c:v>
                </c:pt>
                <c:pt idx="5">
                  <c:v>93.006356619796875</c:v>
                </c:pt>
                <c:pt idx="6">
                  <c:v>97.733520550787773</c:v>
                </c:pt>
                <c:pt idx="7">
                  <c:v>103.54313625903302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302-4FD3-AD98-679E667A7035}"/>
            </c:ext>
          </c:extLst>
        </c:ser>
        <c:ser>
          <c:idx val="3"/>
          <c:order val="3"/>
          <c:tx>
            <c:v>TSD_min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3.5</c:v>
              </c:pt>
            </c:numLit>
          </c:xVal>
          <c:yVal>
            <c:numLit>
              <c:formatCode>General</c:formatCode>
              <c:ptCount val="2"/>
              <c:pt idx="0">
                <c:v>150</c:v>
              </c:pt>
              <c:pt idx="1">
                <c:v>150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3-E302-4FD3-AD98-679E667A7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4903776"/>
        <c:axId val="-54897792"/>
      </c:scatterChart>
      <c:valAx>
        <c:axId val="-54903776"/>
        <c:scaling>
          <c:orientation val="minMax"/>
          <c:max val="1.1000000000000001"/>
          <c:min val="0.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Output Current (A)</a:t>
                </a:r>
              </a:p>
            </c:rich>
          </c:tx>
          <c:layout>
            <c:manualLayout>
              <c:xMode val="edge"/>
              <c:yMode val="edge"/>
              <c:x val="0.42932121716960786"/>
              <c:y val="0.9331984495315568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4897792"/>
        <c:crosses val="autoZero"/>
        <c:crossBetween val="midCat"/>
        <c:majorUnit val="0.25"/>
        <c:minorUnit val="0.125"/>
      </c:valAx>
      <c:valAx>
        <c:axId val="-54897792"/>
        <c:scaling>
          <c:orientation val="minMax"/>
          <c:max val="16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Predicted</a:t>
                </a:r>
                <a:r>
                  <a:rPr lang="en-US" baseline="0"/>
                  <a:t> Junction Temp (</a:t>
                </a:r>
                <a:r>
                  <a:rPr lang="en-US" baseline="30000"/>
                  <a:t>O</a:t>
                </a:r>
                <a:r>
                  <a:rPr lang="en-US" baseline="0"/>
                  <a:t>C)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7528433945757546E-3"/>
              <c:y val="0.265319408295720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4903776"/>
        <c:crosses val="autoZero"/>
        <c:crossBetween val="midCat"/>
        <c:majorUnit val="2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5231663052427727"/>
          <c:y val="0.17047244094488193"/>
          <c:w val="0.46706960598997288"/>
          <c:h val="0.1204645449959423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Predicted TJ Rise</a:t>
            </a:r>
            <a:r>
              <a:rPr lang="en-US" baseline="0"/>
              <a:t> vs. Iout at 25</a:t>
            </a:r>
            <a:r>
              <a:rPr lang="en-US" baseline="0">
                <a:latin typeface="Calibri"/>
                <a:cs typeface="Calibri"/>
              </a:rPr>
              <a:t>°</a:t>
            </a:r>
            <a:r>
              <a:rPr lang="en-US" baseline="0"/>
              <a:t>C</a:t>
            </a:r>
            <a:endParaRPr lang="en-US"/>
          </a:p>
        </c:rich>
      </c:tx>
      <c:layout>
        <c:manualLayout>
          <c:xMode val="edge"/>
          <c:yMode val="edge"/>
          <c:x val="0.33043432070991491"/>
          <c:y val="2.0845385958554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48306357366707"/>
          <c:y val="9.5288366062676766E-2"/>
          <c:w val="0.84591275211319306"/>
          <c:h val="0.764520254245330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Efficiency!$C$2</c:f>
              <c:strCache>
                <c:ptCount val="1"/>
                <c:pt idx="0">
                  <c:v>6.0</c:v>
                </c:pt>
              </c:strCache>
            </c:strRef>
          </c:tx>
          <c:spPr>
            <a:ln w="381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Efficiency!$B$4:$B$11</c:f>
              <c:numCache>
                <c:formatCode>0.00</c:formatCode>
                <c:ptCount val="8"/>
                <c:pt idx="0">
                  <c:v>0.1</c:v>
                </c:pt>
                <c:pt idx="1">
                  <c:v>0.22857142857142859</c:v>
                </c:pt>
                <c:pt idx="2">
                  <c:v>0.35714285714285721</c:v>
                </c:pt>
                <c:pt idx="3">
                  <c:v>0.48571428571428577</c:v>
                </c:pt>
                <c:pt idx="4">
                  <c:v>0.61428571428571432</c:v>
                </c:pt>
                <c:pt idx="5">
                  <c:v>0.74285714285714288</c:v>
                </c:pt>
                <c:pt idx="6">
                  <c:v>0.87142857142857144</c:v>
                </c:pt>
                <c:pt idx="7">
                  <c:v>1</c:v>
                </c:pt>
              </c:numCache>
            </c:numRef>
          </c:xVal>
          <c:yVal>
            <c:numRef>
              <c:f>Efficiency!$M$4:$M$11</c:f>
              <c:numCache>
                <c:formatCode>0.000</c:formatCode>
                <c:ptCount val="8"/>
                <c:pt idx="0">
                  <c:v>1.1477049597651927</c:v>
                </c:pt>
                <c:pt idx="1">
                  <c:v>2.0056827561759647</c:v>
                </c:pt>
                <c:pt idx="2">
                  <c:v>3.5559043433034745</c:v>
                </c:pt>
                <c:pt idx="3">
                  <c:v>5.8771513198861776</c:v>
                </c:pt>
                <c:pt idx="4">
                  <c:v>9.0880512278202019</c:v>
                </c:pt>
                <c:pt idx="5">
                  <c:v>13.318682170416473</c:v>
                </c:pt>
                <c:pt idx="6">
                  <c:v>18.56406791729772</c:v>
                </c:pt>
                <c:pt idx="7">
                  <c:v>25.153182997888948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E6-4DCA-A3A5-51D0BC2EC145}"/>
            </c:ext>
          </c:extLst>
        </c:ser>
        <c:ser>
          <c:idx val="1"/>
          <c:order val="1"/>
          <c:tx>
            <c:strRef>
              <c:f>Efficiency!$Y$2</c:f>
              <c:strCache>
                <c:ptCount val="1"/>
                <c:pt idx="0">
                  <c:v>12.0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Efficiency!$X$4:$X$11</c:f>
              <c:numCache>
                <c:formatCode>0.00</c:formatCode>
                <c:ptCount val="8"/>
                <c:pt idx="0">
                  <c:v>0.1</c:v>
                </c:pt>
                <c:pt idx="1">
                  <c:v>0.22857142857142859</c:v>
                </c:pt>
                <c:pt idx="2">
                  <c:v>0.35714285714285721</c:v>
                </c:pt>
                <c:pt idx="3">
                  <c:v>0.48571428571428577</c:v>
                </c:pt>
                <c:pt idx="4">
                  <c:v>0.61428571428571432</c:v>
                </c:pt>
                <c:pt idx="5">
                  <c:v>0.74285714285714288</c:v>
                </c:pt>
                <c:pt idx="6">
                  <c:v>0.87142857142857144</c:v>
                </c:pt>
                <c:pt idx="7">
                  <c:v>1</c:v>
                </c:pt>
              </c:numCache>
            </c:numRef>
          </c:xVal>
          <c:yVal>
            <c:numRef>
              <c:f>Efficiency!$AI$4:$AI$11</c:f>
              <c:numCache>
                <c:formatCode>0.000</c:formatCode>
                <c:ptCount val="8"/>
                <c:pt idx="0">
                  <c:v>1.2611937124312824</c:v>
                </c:pt>
                <c:pt idx="1">
                  <c:v>1.9571849982495628</c:v>
                </c:pt>
                <c:pt idx="2">
                  <c:v>3.137046496043812</c:v>
                </c:pt>
                <c:pt idx="3">
                  <c:v>4.8352818818138488</c:v>
                </c:pt>
                <c:pt idx="4">
                  <c:v>7.1016699306325748</c:v>
                </c:pt>
                <c:pt idx="5">
                  <c:v>10.005376023784109</c:v>
                </c:pt>
                <c:pt idx="6">
                  <c:v>13.641203335417131</c:v>
                </c:pt>
                <c:pt idx="7">
                  <c:v>18.139245470274389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1E6-4DCA-A3A5-51D0BC2EC145}"/>
            </c:ext>
          </c:extLst>
        </c:ser>
        <c:ser>
          <c:idx val="6"/>
          <c:order val="2"/>
          <c:tx>
            <c:strRef>
              <c:f>Efficiency!$AU$2</c:f>
              <c:strCache>
                <c:ptCount val="1"/>
                <c:pt idx="0">
                  <c:v>16.0</c:v>
                </c:pt>
              </c:strCache>
            </c:strRef>
          </c:tx>
          <c:spPr>
            <a:ln w="381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Efficiency!$AT$4:$AT$11</c:f>
              <c:numCache>
                <c:formatCode>0.00</c:formatCode>
                <c:ptCount val="8"/>
                <c:pt idx="0">
                  <c:v>0.1</c:v>
                </c:pt>
                <c:pt idx="1">
                  <c:v>0.22857142857142859</c:v>
                </c:pt>
                <c:pt idx="2">
                  <c:v>0.35714285714285721</c:v>
                </c:pt>
                <c:pt idx="3">
                  <c:v>0.48571428571428577</c:v>
                </c:pt>
                <c:pt idx="4">
                  <c:v>0.61428571428571432</c:v>
                </c:pt>
                <c:pt idx="5">
                  <c:v>0.74285714285714288</c:v>
                </c:pt>
                <c:pt idx="6">
                  <c:v>0.87142857142857144</c:v>
                </c:pt>
                <c:pt idx="7">
                  <c:v>1</c:v>
                </c:pt>
              </c:numCache>
            </c:numRef>
          </c:xVal>
          <c:yVal>
            <c:numRef>
              <c:f>Efficiency!$BE$4:$BE$11</c:f>
              <c:numCache>
                <c:formatCode>0.000</c:formatCode>
                <c:ptCount val="8"/>
                <c:pt idx="0">
                  <c:v>1.3337678070503074</c:v>
                </c:pt>
                <c:pt idx="1">
                  <c:v>2.0401317011723847</c:v>
                </c:pt>
                <c:pt idx="2">
                  <c:v>3.182014976853992</c:v>
                </c:pt>
                <c:pt idx="3">
                  <c:v>4.7867743362379471</c:v>
                </c:pt>
                <c:pt idx="4">
                  <c:v>6.8934564083077809</c:v>
                </c:pt>
                <c:pt idx="5">
                  <c:v>9.5554785869023888</c:v>
                </c:pt>
                <c:pt idx="6">
                  <c:v>12.844581808306614</c:v>
                </c:pt>
                <c:pt idx="7">
                  <c:v>16.856690228279263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1E6-4DCA-A3A5-51D0BC2EC145}"/>
            </c:ext>
          </c:extLst>
        </c:ser>
        <c:ser>
          <c:idx val="3"/>
          <c:order val="3"/>
          <c:tx>
            <c:v>TSD_min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3.5</c:v>
              </c:pt>
            </c:numLit>
          </c:xVal>
          <c:yVal>
            <c:numLit>
              <c:formatCode>General</c:formatCode>
              <c:ptCount val="2"/>
              <c:pt idx="0">
                <c:v>150</c:v>
              </c:pt>
              <c:pt idx="1">
                <c:v>150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3-91E6-4DCA-A3A5-51D0BC2EC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4897248"/>
        <c:axId val="-54895072"/>
      </c:scatterChart>
      <c:valAx>
        <c:axId val="-54897248"/>
        <c:scaling>
          <c:orientation val="minMax"/>
          <c:max val="1.1000000000000001"/>
          <c:min val="0.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Output Current (A)</a:t>
                </a:r>
              </a:p>
            </c:rich>
          </c:tx>
          <c:layout>
            <c:manualLayout>
              <c:xMode val="edge"/>
              <c:yMode val="edge"/>
              <c:x val="0.42932121716960786"/>
              <c:y val="0.9331984495315568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4895072"/>
        <c:crosses val="autoZero"/>
        <c:crossBetween val="midCat"/>
        <c:majorUnit val="0.25"/>
        <c:minorUnit val="0.125"/>
      </c:valAx>
      <c:valAx>
        <c:axId val="-54895072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Predicted</a:t>
                </a:r>
                <a:r>
                  <a:rPr lang="en-US" baseline="0"/>
                  <a:t> Junction Temp Rise (</a:t>
                </a:r>
                <a:r>
                  <a:rPr lang="en-US" baseline="30000"/>
                  <a:t>o</a:t>
                </a:r>
                <a:r>
                  <a:rPr lang="en-US" baseline="0"/>
                  <a:t>C)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7528433945757546E-3"/>
              <c:y val="0.265319408295720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4897248"/>
        <c:crosses val="autoZero"/>
        <c:crossBetween val="midCat"/>
        <c:majorUnit val="2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5231663052427727"/>
          <c:y val="0.17047244094488193"/>
          <c:w val="0.46706960598997288"/>
          <c:h val="0.1204645449959423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Predicted TJ Rise</a:t>
            </a:r>
            <a:r>
              <a:rPr lang="en-US" baseline="0"/>
              <a:t> vs. Iout at High Ambient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rich>
      </c:tx>
      <c:layout>
        <c:manualLayout>
          <c:xMode val="edge"/>
          <c:yMode val="edge"/>
          <c:x val="0.33043432070991491"/>
          <c:y val="2.0845385958554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48306357366707"/>
          <c:y val="9.5288366062676766E-2"/>
          <c:w val="0.84591275211319306"/>
          <c:h val="0.764520254245330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Efficiency!$C$2</c:f>
              <c:strCache>
                <c:ptCount val="1"/>
                <c:pt idx="0">
                  <c:v>6.0</c:v>
                </c:pt>
              </c:strCache>
            </c:strRef>
          </c:tx>
          <c:spPr>
            <a:ln w="381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Efficiency!$B$4:$B$11</c:f>
              <c:numCache>
                <c:formatCode>0.00</c:formatCode>
                <c:ptCount val="8"/>
                <c:pt idx="0">
                  <c:v>0.1</c:v>
                </c:pt>
                <c:pt idx="1">
                  <c:v>0.22857142857142859</c:v>
                </c:pt>
                <c:pt idx="2">
                  <c:v>0.35714285714285721</c:v>
                </c:pt>
                <c:pt idx="3">
                  <c:v>0.48571428571428577</c:v>
                </c:pt>
                <c:pt idx="4">
                  <c:v>0.61428571428571432</c:v>
                </c:pt>
                <c:pt idx="5">
                  <c:v>0.74285714285714288</c:v>
                </c:pt>
                <c:pt idx="6">
                  <c:v>0.87142857142857144</c:v>
                </c:pt>
                <c:pt idx="7">
                  <c:v>1</c:v>
                </c:pt>
              </c:numCache>
            </c:numRef>
          </c:xVal>
          <c:yVal>
            <c:numRef>
              <c:f>Efficiency!$M$14:$M$21</c:f>
              <c:numCache>
                <c:formatCode>0.000</c:formatCode>
                <c:ptCount val="8"/>
                <c:pt idx="0">
                  <c:v>1.2363456590693147</c:v>
                </c:pt>
                <c:pt idx="1">
                  <c:v>2.4619607863934476</c:v>
                </c:pt>
                <c:pt idx="2">
                  <c:v>4.7092218992498118</c:v>
                </c:pt>
                <c:pt idx="3">
                  <c:v>8.1153940749006352</c:v>
                </c:pt>
                <c:pt idx="4">
                  <c:v>12.704358603424751</c:v>
                </c:pt>
                <c:pt idx="5">
                  <c:v>18.616759637510398</c:v>
                </c:pt>
                <c:pt idx="6">
                  <c:v>26.127350712273341</c:v>
                </c:pt>
                <c:pt idx="7">
                  <c:v>35.565584169308934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F7-4BCC-80DF-575335E70B0D}"/>
            </c:ext>
          </c:extLst>
        </c:ser>
        <c:ser>
          <c:idx val="1"/>
          <c:order val="1"/>
          <c:tx>
            <c:strRef>
              <c:f>Efficiency!$Y$2</c:f>
              <c:strCache>
                <c:ptCount val="1"/>
                <c:pt idx="0">
                  <c:v>12.0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Efficiency!$X$4:$X$11</c:f>
              <c:numCache>
                <c:formatCode>0.00</c:formatCode>
                <c:ptCount val="8"/>
                <c:pt idx="0">
                  <c:v>0.1</c:v>
                </c:pt>
                <c:pt idx="1">
                  <c:v>0.22857142857142859</c:v>
                </c:pt>
                <c:pt idx="2">
                  <c:v>0.35714285714285721</c:v>
                </c:pt>
                <c:pt idx="3">
                  <c:v>0.48571428571428577</c:v>
                </c:pt>
                <c:pt idx="4">
                  <c:v>0.61428571428571432</c:v>
                </c:pt>
                <c:pt idx="5">
                  <c:v>0.74285714285714288</c:v>
                </c:pt>
                <c:pt idx="6">
                  <c:v>0.87142857142857144</c:v>
                </c:pt>
                <c:pt idx="7">
                  <c:v>1</c:v>
                </c:pt>
              </c:numCache>
            </c:numRef>
          </c:xVal>
          <c:yVal>
            <c:numRef>
              <c:f>Efficiency!$AI$14:$AI$21</c:f>
              <c:numCache>
                <c:formatCode>0.000</c:formatCode>
                <c:ptCount val="8"/>
                <c:pt idx="0">
                  <c:v>1.3788132217903382</c:v>
                </c:pt>
                <c:pt idx="1">
                  <c:v>2.3381822436233932</c:v>
                </c:pt>
                <c:pt idx="2">
                  <c:v>4.0006038869440772</c:v>
                </c:pt>
                <c:pt idx="3">
                  <c:v>6.421644168656826</c:v>
                </c:pt>
                <c:pt idx="4">
                  <c:v>9.681173370022421</c:v>
                </c:pt>
                <c:pt idx="5">
                  <c:v>13.890852690460932</c:v>
                </c:pt>
                <c:pt idx="6">
                  <c:v>19.205785139176427</c:v>
                </c:pt>
                <c:pt idx="7">
                  <c:v>25.843149265441795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5F7-4BCC-80DF-575335E70B0D}"/>
            </c:ext>
          </c:extLst>
        </c:ser>
        <c:ser>
          <c:idx val="6"/>
          <c:order val="2"/>
          <c:tx>
            <c:strRef>
              <c:f>Efficiency!$AU$2</c:f>
              <c:strCache>
                <c:ptCount val="1"/>
                <c:pt idx="0">
                  <c:v>16.0</c:v>
                </c:pt>
              </c:strCache>
            </c:strRef>
          </c:tx>
          <c:spPr>
            <a:ln w="381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Efficiency!$AT$4:$AT$11</c:f>
              <c:numCache>
                <c:formatCode>0.00</c:formatCode>
                <c:ptCount val="8"/>
                <c:pt idx="0">
                  <c:v>0.1</c:v>
                </c:pt>
                <c:pt idx="1">
                  <c:v>0.22857142857142859</c:v>
                </c:pt>
                <c:pt idx="2">
                  <c:v>0.35714285714285721</c:v>
                </c:pt>
                <c:pt idx="3">
                  <c:v>0.48571428571428577</c:v>
                </c:pt>
                <c:pt idx="4">
                  <c:v>0.61428571428571432</c:v>
                </c:pt>
                <c:pt idx="5">
                  <c:v>0.74285714285714288</c:v>
                </c:pt>
                <c:pt idx="6">
                  <c:v>0.87142857142857144</c:v>
                </c:pt>
                <c:pt idx="7">
                  <c:v>1</c:v>
                </c:pt>
              </c:numCache>
            </c:numRef>
          </c:xVal>
          <c:yVal>
            <c:numRef>
              <c:f>Efficiency!$BE$14:$BE$21</c:f>
              <c:numCache>
                <c:formatCode>0.000</c:formatCode>
                <c:ptCount val="8"/>
                <c:pt idx="0">
                  <c:v>1.4610283497447938</c:v>
                </c:pt>
                <c:pt idx="1">
                  <c:v>2.4056054027435891</c:v>
                </c:pt>
                <c:pt idx="2">
                  <c:v>3.9803412648006429</c:v>
                </c:pt>
                <c:pt idx="3">
                  <c:v>6.2278424679713424</c:v>
                </c:pt>
                <c:pt idx="4">
                  <c:v>9.2087494464432069</c:v>
                </c:pt>
                <c:pt idx="5">
                  <c:v>13.006356619796875</c:v>
                </c:pt>
                <c:pt idx="6">
                  <c:v>17.733520550787773</c:v>
                </c:pt>
                <c:pt idx="7">
                  <c:v>23.54313625903302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5F7-4BCC-80DF-575335E70B0D}"/>
            </c:ext>
          </c:extLst>
        </c:ser>
        <c:ser>
          <c:idx val="3"/>
          <c:order val="3"/>
          <c:tx>
            <c:v>TSD_min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3.5</c:v>
              </c:pt>
            </c:numLit>
          </c:xVal>
          <c:yVal>
            <c:numLit>
              <c:formatCode>General</c:formatCode>
              <c:ptCount val="2"/>
              <c:pt idx="0">
                <c:v>150</c:v>
              </c:pt>
              <c:pt idx="1">
                <c:v>150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3-55F7-4BCC-80DF-575335E70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4893984"/>
        <c:axId val="-54890720"/>
      </c:scatterChart>
      <c:valAx>
        <c:axId val="-54893984"/>
        <c:scaling>
          <c:orientation val="minMax"/>
          <c:max val="1.1000000000000001"/>
          <c:min val="0.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Output Current (A)</a:t>
                </a:r>
              </a:p>
            </c:rich>
          </c:tx>
          <c:layout>
            <c:manualLayout>
              <c:xMode val="edge"/>
              <c:yMode val="edge"/>
              <c:x val="0.42932121716960786"/>
              <c:y val="0.9331984495315568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4890720"/>
        <c:crosses val="autoZero"/>
        <c:crossBetween val="midCat"/>
        <c:majorUnit val="0.25"/>
        <c:minorUnit val="0.125"/>
      </c:valAx>
      <c:valAx>
        <c:axId val="-54890720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Predicted</a:t>
                </a:r>
                <a:r>
                  <a:rPr lang="en-US" baseline="0"/>
                  <a:t> Junction Temp Rise (</a:t>
                </a:r>
                <a:r>
                  <a:rPr lang="en-US" baseline="30000"/>
                  <a:t>o</a:t>
                </a:r>
                <a:r>
                  <a:rPr lang="en-US" baseline="0"/>
                  <a:t>C)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7528433945757546E-3"/>
              <c:y val="0.265319408295720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4893984"/>
        <c:crosses val="autoZero"/>
        <c:crossBetween val="midCat"/>
        <c:majorUnit val="2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5231663052427727"/>
          <c:y val="0.17047244094488193"/>
          <c:w val="0.46706960598997288"/>
          <c:h val="0.1204645449959423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Typical VLoad </a:t>
            </a:r>
            <a:r>
              <a:rPr lang="en-US" sz="1200" baseline="0"/>
              <a:t>vs Vin at 100%, 66%, and 33% Load at Room Temp.</a:t>
            </a:r>
            <a:endParaRPr lang="en-US" sz="1200"/>
          </a:p>
        </c:rich>
      </c:tx>
      <c:layout>
        <c:manualLayout>
          <c:xMode val="edge"/>
          <c:yMode val="edge"/>
          <c:x val="0.17410714285714482"/>
          <c:y val="1.80559856796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48306357366707"/>
          <c:y val="9.5288366062676766E-2"/>
          <c:w val="0.84591275211319306"/>
          <c:h val="0.764520254245330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Dropout!$C$5</c:f>
              <c:strCache>
                <c:ptCount val="1"/>
                <c:pt idx="0">
                  <c:v>1.00</c:v>
                </c:pt>
              </c:strCache>
            </c:strRef>
          </c:tx>
          <c:spPr>
            <a:ln w="381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Dropout!$B$5:$B$45</c:f>
              <c:numCache>
                <c:formatCode>0.00</c:formatCode>
                <c:ptCount val="41"/>
                <c:pt idx="0">
                  <c:v>11.999999999999991</c:v>
                </c:pt>
                <c:pt idx="1">
                  <c:v>11.782499999999992</c:v>
                </c:pt>
                <c:pt idx="2">
                  <c:v>11.564999999999992</c:v>
                </c:pt>
                <c:pt idx="3">
                  <c:v>11.347499999999993</c:v>
                </c:pt>
                <c:pt idx="4">
                  <c:v>11.129999999999994</c:v>
                </c:pt>
                <c:pt idx="5">
                  <c:v>10.912499999999994</c:v>
                </c:pt>
                <c:pt idx="6">
                  <c:v>10.694999999999995</c:v>
                </c:pt>
                <c:pt idx="7">
                  <c:v>10.477499999999996</c:v>
                </c:pt>
                <c:pt idx="8">
                  <c:v>10.259999999999996</c:v>
                </c:pt>
                <c:pt idx="9">
                  <c:v>10.042499999999997</c:v>
                </c:pt>
                <c:pt idx="10">
                  <c:v>9.8249999999999975</c:v>
                </c:pt>
                <c:pt idx="11">
                  <c:v>9.6074999999999982</c:v>
                </c:pt>
                <c:pt idx="12">
                  <c:v>9.3899999999999988</c:v>
                </c:pt>
                <c:pt idx="13">
                  <c:v>9.1724999999999994</c:v>
                </c:pt>
                <c:pt idx="14">
                  <c:v>8.9550000000000001</c:v>
                </c:pt>
                <c:pt idx="15">
                  <c:v>8.7375000000000007</c:v>
                </c:pt>
                <c:pt idx="16">
                  <c:v>8.5200000000000014</c:v>
                </c:pt>
                <c:pt idx="17">
                  <c:v>8.302500000000002</c:v>
                </c:pt>
                <c:pt idx="18">
                  <c:v>8.0850000000000026</c:v>
                </c:pt>
                <c:pt idx="19">
                  <c:v>7.8675000000000033</c:v>
                </c:pt>
                <c:pt idx="20">
                  <c:v>7.650000000000003</c:v>
                </c:pt>
                <c:pt idx="21">
                  <c:v>7.4325000000000028</c:v>
                </c:pt>
                <c:pt idx="22">
                  <c:v>7.2150000000000025</c:v>
                </c:pt>
                <c:pt idx="23">
                  <c:v>6.9975000000000023</c:v>
                </c:pt>
                <c:pt idx="24">
                  <c:v>6.780000000000002</c:v>
                </c:pt>
                <c:pt idx="25">
                  <c:v>6.5625000000000018</c:v>
                </c:pt>
                <c:pt idx="26">
                  <c:v>6.3450000000000015</c:v>
                </c:pt>
                <c:pt idx="27">
                  <c:v>6.1275000000000013</c:v>
                </c:pt>
                <c:pt idx="28">
                  <c:v>5.910000000000001</c:v>
                </c:pt>
                <c:pt idx="29">
                  <c:v>5.6925000000000008</c:v>
                </c:pt>
                <c:pt idx="30">
                  <c:v>5.4750000000000005</c:v>
                </c:pt>
                <c:pt idx="31">
                  <c:v>5.2575000000000003</c:v>
                </c:pt>
                <c:pt idx="32">
                  <c:v>5.04</c:v>
                </c:pt>
                <c:pt idx="33">
                  <c:v>4.8224999999999998</c:v>
                </c:pt>
                <c:pt idx="34">
                  <c:v>4.6049999999999995</c:v>
                </c:pt>
                <c:pt idx="35">
                  <c:v>4.3874999999999993</c:v>
                </c:pt>
                <c:pt idx="36">
                  <c:v>4.169999999999999</c:v>
                </c:pt>
                <c:pt idx="37">
                  <c:v>3.9524999999999992</c:v>
                </c:pt>
                <c:pt idx="38">
                  <c:v>3.7349999999999994</c:v>
                </c:pt>
                <c:pt idx="39">
                  <c:v>3.5174999999999996</c:v>
                </c:pt>
                <c:pt idx="40">
                  <c:v>3.3</c:v>
                </c:pt>
              </c:numCache>
            </c:numRef>
          </c:xVal>
          <c:yVal>
            <c:numRef>
              <c:f>Dropout!$R$5:$R$45</c:f>
              <c:numCache>
                <c:formatCode>0.000</c:formatCode>
                <c:ptCount val="41"/>
                <c:pt idx="0">
                  <c:v>5.0744525547445258</c:v>
                </c:pt>
                <c:pt idx="1">
                  <c:v>5.0744525547445258</c:v>
                </c:pt>
                <c:pt idx="2">
                  <c:v>5.0744525547445258</c:v>
                </c:pt>
                <c:pt idx="3">
                  <c:v>5.0744525547445258</c:v>
                </c:pt>
                <c:pt idx="4">
                  <c:v>5.0744525547445258</c:v>
                </c:pt>
                <c:pt idx="5">
                  <c:v>5.0744525547445258</c:v>
                </c:pt>
                <c:pt idx="6">
                  <c:v>5.0744525547445258</c:v>
                </c:pt>
                <c:pt idx="7">
                  <c:v>5.0744525547445258</c:v>
                </c:pt>
                <c:pt idx="8">
                  <c:v>5.0744525547445258</c:v>
                </c:pt>
                <c:pt idx="9">
                  <c:v>5.0744525547445258</c:v>
                </c:pt>
                <c:pt idx="10">
                  <c:v>5.0744525547445258</c:v>
                </c:pt>
                <c:pt idx="11">
                  <c:v>5.0744525547445258</c:v>
                </c:pt>
                <c:pt idx="12">
                  <c:v>5.0744525547445258</c:v>
                </c:pt>
                <c:pt idx="13">
                  <c:v>5.0744525547445258</c:v>
                </c:pt>
                <c:pt idx="14">
                  <c:v>5.0744525547445258</c:v>
                </c:pt>
                <c:pt idx="15">
                  <c:v>5.0744525547445258</c:v>
                </c:pt>
                <c:pt idx="16">
                  <c:v>5.0744525547445258</c:v>
                </c:pt>
                <c:pt idx="17">
                  <c:v>5.0744525547445258</c:v>
                </c:pt>
                <c:pt idx="18">
                  <c:v>5.0744525547445258</c:v>
                </c:pt>
                <c:pt idx="19">
                  <c:v>5.0744525547445258</c:v>
                </c:pt>
                <c:pt idx="20">
                  <c:v>5.0744525547445258</c:v>
                </c:pt>
                <c:pt idx="21">
                  <c:v>5.0744525547445258</c:v>
                </c:pt>
                <c:pt idx="22">
                  <c:v>5.0744525547445258</c:v>
                </c:pt>
                <c:pt idx="23">
                  <c:v>5.0744525547445258</c:v>
                </c:pt>
                <c:pt idx="24">
                  <c:v>5.0744525547445258</c:v>
                </c:pt>
                <c:pt idx="25">
                  <c:v>5.0744525547445258</c:v>
                </c:pt>
                <c:pt idx="26">
                  <c:v>5.0744525547445258</c:v>
                </c:pt>
                <c:pt idx="27">
                  <c:v>5.0744525547445258</c:v>
                </c:pt>
                <c:pt idx="28">
                  <c:v>5.0744525547445258</c:v>
                </c:pt>
                <c:pt idx="29">
                  <c:v>4.8876145913617366</c:v>
                </c:pt>
                <c:pt idx="30">
                  <c:v>4.6722923277352733</c:v>
                </c:pt>
                <c:pt idx="31">
                  <c:v>4.4569544549331823</c:v>
                </c:pt>
                <c:pt idx="32">
                  <c:v>4.2416017308077372</c:v>
                </c:pt>
                <c:pt idx="33">
                  <c:v>4.0262436602190119</c:v>
                </c:pt>
                <c:pt idx="34">
                  <c:v>3.8108831415424014</c:v>
                </c:pt>
                <c:pt idx="35">
                  <c:v>3.5955201747779069</c:v>
                </c:pt>
                <c:pt idx="36">
                  <c:v>3.3801547599255271</c:v>
                </c:pt>
                <c:pt idx="37">
                  <c:v>3.1647868969852628</c:v>
                </c:pt>
                <c:pt idx="38">
                  <c:v>2.9494165859571138</c:v>
                </c:pt>
                <c:pt idx="39">
                  <c:v>2.7340438268410798</c:v>
                </c:pt>
                <c:pt idx="40">
                  <c:v>2.5186686196371615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83-44C5-84EB-1E164879EE03}"/>
            </c:ext>
          </c:extLst>
        </c:ser>
        <c:ser>
          <c:idx val="1"/>
          <c:order val="1"/>
          <c:tx>
            <c:strRef>
              <c:f>Dropout!$S$5</c:f>
              <c:strCache>
                <c:ptCount val="1"/>
                <c:pt idx="0">
                  <c:v>0.67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Dropout!$B$5:$B$45</c:f>
              <c:numCache>
                <c:formatCode>0.00</c:formatCode>
                <c:ptCount val="41"/>
                <c:pt idx="0">
                  <c:v>11.999999999999991</c:v>
                </c:pt>
                <c:pt idx="1">
                  <c:v>11.782499999999992</c:v>
                </c:pt>
                <c:pt idx="2">
                  <c:v>11.564999999999992</c:v>
                </c:pt>
                <c:pt idx="3">
                  <c:v>11.347499999999993</c:v>
                </c:pt>
                <c:pt idx="4">
                  <c:v>11.129999999999994</c:v>
                </c:pt>
                <c:pt idx="5">
                  <c:v>10.912499999999994</c:v>
                </c:pt>
                <c:pt idx="6">
                  <c:v>10.694999999999995</c:v>
                </c:pt>
                <c:pt idx="7">
                  <c:v>10.477499999999996</c:v>
                </c:pt>
                <c:pt idx="8">
                  <c:v>10.259999999999996</c:v>
                </c:pt>
                <c:pt idx="9">
                  <c:v>10.042499999999997</c:v>
                </c:pt>
                <c:pt idx="10">
                  <c:v>9.8249999999999975</c:v>
                </c:pt>
                <c:pt idx="11">
                  <c:v>9.6074999999999982</c:v>
                </c:pt>
                <c:pt idx="12">
                  <c:v>9.3899999999999988</c:v>
                </c:pt>
                <c:pt idx="13">
                  <c:v>9.1724999999999994</c:v>
                </c:pt>
                <c:pt idx="14">
                  <c:v>8.9550000000000001</c:v>
                </c:pt>
                <c:pt idx="15">
                  <c:v>8.7375000000000007</c:v>
                </c:pt>
                <c:pt idx="16">
                  <c:v>8.5200000000000014</c:v>
                </c:pt>
                <c:pt idx="17">
                  <c:v>8.302500000000002</c:v>
                </c:pt>
                <c:pt idx="18">
                  <c:v>8.0850000000000026</c:v>
                </c:pt>
                <c:pt idx="19">
                  <c:v>7.8675000000000033</c:v>
                </c:pt>
                <c:pt idx="20">
                  <c:v>7.650000000000003</c:v>
                </c:pt>
                <c:pt idx="21">
                  <c:v>7.4325000000000028</c:v>
                </c:pt>
                <c:pt idx="22">
                  <c:v>7.2150000000000025</c:v>
                </c:pt>
                <c:pt idx="23">
                  <c:v>6.9975000000000023</c:v>
                </c:pt>
                <c:pt idx="24">
                  <c:v>6.780000000000002</c:v>
                </c:pt>
                <c:pt idx="25">
                  <c:v>6.5625000000000018</c:v>
                </c:pt>
                <c:pt idx="26">
                  <c:v>6.3450000000000015</c:v>
                </c:pt>
                <c:pt idx="27">
                  <c:v>6.1275000000000013</c:v>
                </c:pt>
                <c:pt idx="28">
                  <c:v>5.910000000000001</c:v>
                </c:pt>
                <c:pt idx="29">
                  <c:v>5.6925000000000008</c:v>
                </c:pt>
                <c:pt idx="30">
                  <c:v>5.4750000000000005</c:v>
                </c:pt>
                <c:pt idx="31">
                  <c:v>5.2575000000000003</c:v>
                </c:pt>
                <c:pt idx="32">
                  <c:v>5.04</c:v>
                </c:pt>
                <c:pt idx="33">
                  <c:v>4.8224999999999998</c:v>
                </c:pt>
                <c:pt idx="34">
                  <c:v>4.6049999999999995</c:v>
                </c:pt>
                <c:pt idx="35">
                  <c:v>4.3874999999999993</c:v>
                </c:pt>
                <c:pt idx="36">
                  <c:v>4.169999999999999</c:v>
                </c:pt>
                <c:pt idx="37">
                  <c:v>3.9524999999999992</c:v>
                </c:pt>
                <c:pt idx="38">
                  <c:v>3.7349999999999994</c:v>
                </c:pt>
                <c:pt idx="39">
                  <c:v>3.5174999999999996</c:v>
                </c:pt>
                <c:pt idx="40">
                  <c:v>3.3</c:v>
                </c:pt>
              </c:numCache>
            </c:numRef>
          </c:xVal>
          <c:yVal>
            <c:numRef>
              <c:f>Dropout!$AH$5:$AH$45</c:f>
              <c:numCache>
                <c:formatCode>0.000</c:formatCode>
                <c:ptCount val="41"/>
                <c:pt idx="0">
                  <c:v>5.0744525547445258</c:v>
                </c:pt>
                <c:pt idx="1">
                  <c:v>5.0744525547445258</c:v>
                </c:pt>
                <c:pt idx="2">
                  <c:v>5.0744525547445258</c:v>
                </c:pt>
                <c:pt idx="3">
                  <c:v>5.0744525547445258</c:v>
                </c:pt>
                <c:pt idx="4">
                  <c:v>5.0744525547445258</c:v>
                </c:pt>
                <c:pt idx="5">
                  <c:v>5.0744525547445258</c:v>
                </c:pt>
                <c:pt idx="6">
                  <c:v>5.0744525547445258</c:v>
                </c:pt>
                <c:pt idx="7">
                  <c:v>5.0744525547445258</c:v>
                </c:pt>
                <c:pt idx="8">
                  <c:v>5.0744525547445258</c:v>
                </c:pt>
                <c:pt idx="9">
                  <c:v>5.0744525547445258</c:v>
                </c:pt>
                <c:pt idx="10">
                  <c:v>5.0744525547445258</c:v>
                </c:pt>
                <c:pt idx="11">
                  <c:v>5.0744525547445258</c:v>
                </c:pt>
                <c:pt idx="12">
                  <c:v>5.0744525547445258</c:v>
                </c:pt>
                <c:pt idx="13">
                  <c:v>5.0744525547445258</c:v>
                </c:pt>
                <c:pt idx="14">
                  <c:v>5.0744525547445258</c:v>
                </c:pt>
                <c:pt idx="15">
                  <c:v>5.0744525547445258</c:v>
                </c:pt>
                <c:pt idx="16">
                  <c:v>5.0744525547445258</c:v>
                </c:pt>
                <c:pt idx="17">
                  <c:v>5.0744525547445258</c:v>
                </c:pt>
                <c:pt idx="18">
                  <c:v>5.0744525547445258</c:v>
                </c:pt>
                <c:pt idx="19">
                  <c:v>5.0744525547445258</c:v>
                </c:pt>
                <c:pt idx="20">
                  <c:v>5.0744525547445258</c:v>
                </c:pt>
                <c:pt idx="21">
                  <c:v>5.0744525547445258</c:v>
                </c:pt>
                <c:pt idx="22">
                  <c:v>5.0744525547445258</c:v>
                </c:pt>
                <c:pt idx="23">
                  <c:v>5.0744525547445258</c:v>
                </c:pt>
                <c:pt idx="24">
                  <c:v>5.0744525547445258</c:v>
                </c:pt>
                <c:pt idx="25">
                  <c:v>5.0744525547445258</c:v>
                </c:pt>
                <c:pt idx="26">
                  <c:v>5.0744525547445258</c:v>
                </c:pt>
                <c:pt idx="27">
                  <c:v>5.0744525547445258</c:v>
                </c:pt>
                <c:pt idx="28">
                  <c:v>5.0744525547445258</c:v>
                </c:pt>
                <c:pt idx="29">
                  <c:v>5.0744525547445258</c:v>
                </c:pt>
                <c:pt idx="30">
                  <c:v>4.971691393407986</c:v>
                </c:pt>
                <c:pt idx="31">
                  <c:v>4.7562160879640665</c:v>
                </c:pt>
                <c:pt idx="32">
                  <c:v>4.540732933441741</c:v>
                </c:pt>
                <c:pt idx="33">
                  <c:v>4.3252469009506962</c:v>
                </c:pt>
                <c:pt idx="34">
                  <c:v>4.1097598867843876</c:v>
                </c:pt>
                <c:pt idx="35">
                  <c:v>3.8942718909428145</c:v>
                </c:pt>
                <c:pt idx="36">
                  <c:v>3.6787829134259766</c:v>
                </c:pt>
                <c:pt idx="37">
                  <c:v>3.4632929542338751</c:v>
                </c:pt>
                <c:pt idx="38">
                  <c:v>3.2478020133665093</c:v>
                </c:pt>
                <c:pt idx="39">
                  <c:v>3.032310090823878</c:v>
                </c:pt>
                <c:pt idx="40">
                  <c:v>2.8168171866059826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383-44C5-84EB-1E164879EE03}"/>
            </c:ext>
          </c:extLst>
        </c:ser>
        <c:ser>
          <c:idx val="2"/>
          <c:order val="2"/>
          <c:tx>
            <c:strRef>
              <c:f>Dropout!$AI$5</c:f>
              <c:strCache>
                <c:ptCount val="1"/>
                <c:pt idx="0">
                  <c:v>0.33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Dropout!$B$5:$B$45</c:f>
              <c:numCache>
                <c:formatCode>0.00</c:formatCode>
                <c:ptCount val="41"/>
                <c:pt idx="0">
                  <c:v>11.999999999999991</c:v>
                </c:pt>
                <c:pt idx="1">
                  <c:v>11.782499999999992</c:v>
                </c:pt>
                <c:pt idx="2">
                  <c:v>11.564999999999992</c:v>
                </c:pt>
                <c:pt idx="3">
                  <c:v>11.347499999999993</c:v>
                </c:pt>
                <c:pt idx="4">
                  <c:v>11.129999999999994</c:v>
                </c:pt>
                <c:pt idx="5">
                  <c:v>10.912499999999994</c:v>
                </c:pt>
                <c:pt idx="6">
                  <c:v>10.694999999999995</c:v>
                </c:pt>
                <c:pt idx="7">
                  <c:v>10.477499999999996</c:v>
                </c:pt>
                <c:pt idx="8">
                  <c:v>10.259999999999996</c:v>
                </c:pt>
                <c:pt idx="9">
                  <c:v>10.042499999999997</c:v>
                </c:pt>
                <c:pt idx="10">
                  <c:v>9.8249999999999975</c:v>
                </c:pt>
                <c:pt idx="11">
                  <c:v>9.6074999999999982</c:v>
                </c:pt>
                <c:pt idx="12">
                  <c:v>9.3899999999999988</c:v>
                </c:pt>
                <c:pt idx="13">
                  <c:v>9.1724999999999994</c:v>
                </c:pt>
                <c:pt idx="14">
                  <c:v>8.9550000000000001</c:v>
                </c:pt>
                <c:pt idx="15">
                  <c:v>8.7375000000000007</c:v>
                </c:pt>
                <c:pt idx="16">
                  <c:v>8.5200000000000014</c:v>
                </c:pt>
                <c:pt idx="17">
                  <c:v>8.302500000000002</c:v>
                </c:pt>
                <c:pt idx="18">
                  <c:v>8.0850000000000026</c:v>
                </c:pt>
                <c:pt idx="19">
                  <c:v>7.8675000000000033</c:v>
                </c:pt>
                <c:pt idx="20">
                  <c:v>7.650000000000003</c:v>
                </c:pt>
                <c:pt idx="21">
                  <c:v>7.4325000000000028</c:v>
                </c:pt>
                <c:pt idx="22">
                  <c:v>7.2150000000000025</c:v>
                </c:pt>
                <c:pt idx="23">
                  <c:v>6.9975000000000023</c:v>
                </c:pt>
                <c:pt idx="24">
                  <c:v>6.780000000000002</c:v>
                </c:pt>
                <c:pt idx="25">
                  <c:v>6.5625000000000018</c:v>
                </c:pt>
                <c:pt idx="26">
                  <c:v>6.3450000000000015</c:v>
                </c:pt>
                <c:pt idx="27">
                  <c:v>6.1275000000000013</c:v>
                </c:pt>
                <c:pt idx="28">
                  <c:v>5.910000000000001</c:v>
                </c:pt>
                <c:pt idx="29">
                  <c:v>5.6925000000000008</c:v>
                </c:pt>
                <c:pt idx="30">
                  <c:v>5.4750000000000005</c:v>
                </c:pt>
                <c:pt idx="31">
                  <c:v>5.2575000000000003</c:v>
                </c:pt>
                <c:pt idx="32">
                  <c:v>5.04</c:v>
                </c:pt>
                <c:pt idx="33">
                  <c:v>4.8224999999999998</c:v>
                </c:pt>
                <c:pt idx="34">
                  <c:v>4.6049999999999995</c:v>
                </c:pt>
                <c:pt idx="35">
                  <c:v>4.3874999999999993</c:v>
                </c:pt>
                <c:pt idx="36">
                  <c:v>4.169999999999999</c:v>
                </c:pt>
                <c:pt idx="37">
                  <c:v>3.9524999999999992</c:v>
                </c:pt>
                <c:pt idx="38">
                  <c:v>3.7349999999999994</c:v>
                </c:pt>
                <c:pt idx="39">
                  <c:v>3.5174999999999996</c:v>
                </c:pt>
                <c:pt idx="40">
                  <c:v>3.3</c:v>
                </c:pt>
              </c:numCache>
            </c:numRef>
          </c:xVal>
          <c:yVal>
            <c:numRef>
              <c:f>Dropout!$AX$5:$AX$45</c:f>
              <c:numCache>
                <c:formatCode>0.000</c:formatCode>
                <c:ptCount val="41"/>
                <c:pt idx="0">
                  <c:v>5.0744525547445258</c:v>
                </c:pt>
                <c:pt idx="1">
                  <c:v>5.0744525547445258</c:v>
                </c:pt>
                <c:pt idx="2">
                  <c:v>5.0744525547445258</c:v>
                </c:pt>
                <c:pt idx="3">
                  <c:v>5.0744525547445258</c:v>
                </c:pt>
                <c:pt idx="4">
                  <c:v>5.0744525547445258</c:v>
                </c:pt>
                <c:pt idx="5">
                  <c:v>5.0744525547445258</c:v>
                </c:pt>
                <c:pt idx="6">
                  <c:v>5.0744525547445258</c:v>
                </c:pt>
                <c:pt idx="7">
                  <c:v>5.0744525547445258</c:v>
                </c:pt>
                <c:pt idx="8">
                  <c:v>5.0744525547445258</c:v>
                </c:pt>
                <c:pt idx="9">
                  <c:v>5.0744525547445258</c:v>
                </c:pt>
                <c:pt idx="10">
                  <c:v>5.0744525547445258</c:v>
                </c:pt>
                <c:pt idx="11">
                  <c:v>5.0744525547445258</c:v>
                </c:pt>
                <c:pt idx="12">
                  <c:v>5.0744525547445258</c:v>
                </c:pt>
                <c:pt idx="13">
                  <c:v>5.0744525547445258</c:v>
                </c:pt>
                <c:pt idx="14">
                  <c:v>5.0744525547445258</c:v>
                </c:pt>
                <c:pt idx="15">
                  <c:v>5.0744525547445258</c:v>
                </c:pt>
                <c:pt idx="16">
                  <c:v>5.0744525547445258</c:v>
                </c:pt>
                <c:pt idx="17">
                  <c:v>5.0744525547445258</c:v>
                </c:pt>
                <c:pt idx="18">
                  <c:v>5.0744525547445258</c:v>
                </c:pt>
                <c:pt idx="19">
                  <c:v>5.0744525547445258</c:v>
                </c:pt>
                <c:pt idx="20">
                  <c:v>5.0744525547445258</c:v>
                </c:pt>
                <c:pt idx="21">
                  <c:v>5.0744525547445258</c:v>
                </c:pt>
                <c:pt idx="22">
                  <c:v>5.0744525547445258</c:v>
                </c:pt>
                <c:pt idx="23">
                  <c:v>5.0744525547445258</c:v>
                </c:pt>
                <c:pt idx="24">
                  <c:v>5.0744525547445258</c:v>
                </c:pt>
                <c:pt idx="25">
                  <c:v>5.0744525547445258</c:v>
                </c:pt>
                <c:pt idx="26">
                  <c:v>5.0744525547445258</c:v>
                </c:pt>
                <c:pt idx="27">
                  <c:v>5.0744525547445258</c:v>
                </c:pt>
                <c:pt idx="28">
                  <c:v>5.0744525547445258</c:v>
                </c:pt>
                <c:pt idx="29">
                  <c:v>5.0744525547445258</c:v>
                </c:pt>
                <c:pt idx="30">
                  <c:v>5.0744525547445258</c:v>
                </c:pt>
                <c:pt idx="31">
                  <c:v>4.9966718803939347</c:v>
                </c:pt>
                <c:pt idx="32">
                  <c:v>4.7810946221488724</c:v>
                </c:pt>
                <c:pt idx="33">
                  <c:v>4.5655161480402233</c:v>
                </c:pt>
                <c:pt idx="34">
                  <c:v>4.3499374421101074</c:v>
                </c:pt>
                <c:pt idx="35">
                  <c:v>4.1343585043585245</c:v>
                </c:pt>
                <c:pt idx="36">
                  <c:v>3.9187793347854734</c:v>
                </c:pt>
                <c:pt idx="37">
                  <c:v>3.7031999333909558</c:v>
                </c:pt>
                <c:pt idx="38">
                  <c:v>3.4876203001749708</c:v>
                </c:pt>
                <c:pt idx="39">
                  <c:v>3.2720404351375185</c:v>
                </c:pt>
                <c:pt idx="40">
                  <c:v>3.0564603382785998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383-44C5-84EB-1E164879EE03}"/>
            </c:ext>
          </c:extLst>
        </c:ser>
        <c:ser>
          <c:idx val="3"/>
          <c:order val="3"/>
          <c:tx>
            <c:v>Vin_min</c:v>
          </c:tx>
          <c:spPr>
            <a:ln>
              <a:solidFill>
                <a:srgbClr val="FF0000">
                  <a:alpha val="74000"/>
                </a:srgbClr>
              </a:solidFill>
            </a:ln>
          </c:spPr>
          <c:marker>
            <c:symbol val="none"/>
          </c:marker>
          <c:xVal>
            <c:numRef>
              <c:f>Dropout!$H$92:$H$93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xVal>
          <c:yVal>
            <c:numRef>
              <c:f>Dropout!$I$92:$I$93</c:f>
              <c:numCache>
                <c:formatCode>General</c:formatCode>
                <c:ptCount val="2"/>
                <c:pt idx="0">
                  <c:v>1</c:v>
                </c:pt>
                <c:pt idx="1">
                  <c:v>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383-44C5-84EB-1E164879E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0071024"/>
        <c:axId val="-50073200"/>
      </c:scatterChart>
      <c:valAx>
        <c:axId val="-50071024"/>
        <c:scaling>
          <c:orientation val="minMax"/>
          <c:max val="12"/>
          <c:min val="2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Input Voltage</a:t>
                </a:r>
                <a:r>
                  <a:rPr lang="en-US" baseline="0"/>
                  <a:t> (V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42932121716960786"/>
              <c:y val="0.9331984495315568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0073200"/>
        <c:crosses val="autoZero"/>
        <c:crossBetween val="midCat"/>
        <c:majorUnit val="1"/>
        <c:minorUnit val="0.5"/>
      </c:valAx>
      <c:valAx>
        <c:axId val="-50073200"/>
        <c:scaling>
          <c:orientation val="minMax"/>
          <c:max val="5.5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Output Voltage (V)</a:t>
                </a:r>
              </a:p>
            </c:rich>
          </c:tx>
          <c:layout>
            <c:manualLayout>
              <c:xMode val="edge"/>
              <c:yMode val="edge"/>
              <c:x val="5.7845894263217094E-3"/>
              <c:y val="0.3322650149902813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0071024"/>
        <c:crosses val="autoZero"/>
        <c:crossBetween val="midCat"/>
        <c:majorUnit val="0.5"/>
        <c:minorUnit val="0.2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7752124734408323"/>
          <c:y val="0.62237867756070331"/>
          <c:w val="0.1468136795400575"/>
          <c:h val="0.1817768699414669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aseline="0"/>
              <a:t>Worst case VLoad vs Vin at 100%, 66%, and 33% Load at High Ambient</a:t>
            </a:r>
            <a:endParaRPr lang="en-US" sz="1200"/>
          </a:p>
        </c:rich>
      </c:tx>
      <c:layout>
        <c:manualLayout>
          <c:xMode val="edge"/>
          <c:yMode val="edge"/>
          <c:x val="0.1388788901387327"/>
          <c:y val="1.2477185121734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48306357366707"/>
          <c:y val="9.5288366062676766E-2"/>
          <c:w val="0.8459127521131935"/>
          <c:h val="0.764520254245330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Dropout!$C$49</c:f>
              <c:strCache>
                <c:ptCount val="1"/>
                <c:pt idx="0">
                  <c:v>1.00</c:v>
                </c:pt>
              </c:strCache>
            </c:strRef>
          </c:tx>
          <c:spPr>
            <a:ln w="381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Dropout!$B$49:$B$89</c:f>
              <c:numCache>
                <c:formatCode>0.00</c:formatCode>
                <c:ptCount val="41"/>
                <c:pt idx="0">
                  <c:v>11.999999999999991</c:v>
                </c:pt>
                <c:pt idx="1">
                  <c:v>11.782499999999992</c:v>
                </c:pt>
                <c:pt idx="2">
                  <c:v>11.564999999999992</c:v>
                </c:pt>
                <c:pt idx="3">
                  <c:v>11.347499999999993</c:v>
                </c:pt>
                <c:pt idx="4">
                  <c:v>11.129999999999994</c:v>
                </c:pt>
                <c:pt idx="5">
                  <c:v>10.912499999999994</c:v>
                </c:pt>
                <c:pt idx="6">
                  <c:v>10.694999999999995</c:v>
                </c:pt>
                <c:pt idx="7">
                  <c:v>10.477499999999996</c:v>
                </c:pt>
                <c:pt idx="8">
                  <c:v>10.259999999999996</c:v>
                </c:pt>
                <c:pt idx="9">
                  <c:v>10.042499999999997</c:v>
                </c:pt>
                <c:pt idx="10">
                  <c:v>9.8249999999999975</c:v>
                </c:pt>
                <c:pt idx="11">
                  <c:v>9.6074999999999982</c:v>
                </c:pt>
                <c:pt idx="12">
                  <c:v>9.3899999999999988</c:v>
                </c:pt>
                <c:pt idx="13">
                  <c:v>9.1724999999999994</c:v>
                </c:pt>
                <c:pt idx="14">
                  <c:v>8.9550000000000001</c:v>
                </c:pt>
                <c:pt idx="15">
                  <c:v>8.7375000000000007</c:v>
                </c:pt>
                <c:pt idx="16">
                  <c:v>8.5200000000000014</c:v>
                </c:pt>
                <c:pt idx="17">
                  <c:v>8.302500000000002</c:v>
                </c:pt>
                <c:pt idx="18">
                  <c:v>8.0850000000000026</c:v>
                </c:pt>
                <c:pt idx="19">
                  <c:v>7.8675000000000033</c:v>
                </c:pt>
                <c:pt idx="20">
                  <c:v>7.650000000000003</c:v>
                </c:pt>
                <c:pt idx="21">
                  <c:v>7.4325000000000028</c:v>
                </c:pt>
                <c:pt idx="22">
                  <c:v>7.2150000000000025</c:v>
                </c:pt>
                <c:pt idx="23">
                  <c:v>6.9975000000000023</c:v>
                </c:pt>
                <c:pt idx="24">
                  <c:v>6.780000000000002</c:v>
                </c:pt>
                <c:pt idx="25">
                  <c:v>6.5625000000000018</c:v>
                </c:pt>
                <c:pt idx="26">
                  <c:v>6.3450000000000015</c:v>
                </c:pt>
                <c:pt idx="27">
                  <c:v>6.1275000000000013</c:v>
                </c:pt>
                <c:pt idx="28">
                  <c:v>5.910000000000001</c:v>
                </c:pt>
                <c:pt idx="29">
                  <c:v>5.6925000000000008</c:v>
                </c:pt>
                <c:pt idx="30">
                  <c:v>5.4750000000000005</c:v>
                </c:pt>
                <c:pt idx="31">
                  <c:v>5.2575000000000003</c:v>
                </c:pt>
                <c:pt idx="32">
                  <c:v>5.04</c:v>
                </c:pt>
                <c:pt idx="33">
                  <c:v>4.8224999999999998</c:v>
                </c:pt>
                <c:pt idx="34">
                  <c:v>4.6049999999999995</c:v>
                </c:pt>
                <c:pt idx="35">
                  <c:v>4.3874999999999993</c:v>
                </c:pt>
                <c:pt idx="36">
                  <c:v>4.169999999999999</c:v>
                </c:pt>
                <c:pt idx="37">
                  <c:v>3.9524999999999992</c:v>
                </c:pt>
                <c:pt idx="38">
                  <c:v>3.7349999999999994</c:v>
                </c:pt>
                <c:pt idx="39">
                  <c:v>3.5174999999999996</c:v>
                </c:pt>
                <c:pt idx="40">
                  <c:v>3.3</c:v>
                </c:pt>
              </c:numCache>
            </c:numRef>
          </c:xVal>
          <c:yVal>
            <c:numRef>
              <c:f>Dropout!$R$49:$R$89</c:f>
              <c:numCache>
                <c:formatCode>0.000</c:formatCode>
                <c:ptCount val="41"/>
                <c:pt idx="0">
                  <c:v>5.0744525547445258</c:v>
                </c:pt>
                <c:pt idx="1">
                  <c:v>5.0744525547445258</c:v>
                </c:pt>
                <c:pt idx="2">
                  <c:v>5.0744525547445258</c:v>
                </c:pt>
                <c:pt idx="3">
                  <c:v>5.0744525547445258</c:v>
                </c:pt>
                <c:pt idx="4">
                  <c:v>5.0744525547445258</c:v>
                </c:pt>
                <c:pt idx="5">
                  <c:v>5.0744525547445258</c:v>
                </c:pt>
                <c:pt idx="6">
                  <c:v>5.0744525547445258</c:v>
                </c:pt>
                <c:pt idx="7">
                  <c:v>5.0744525547445258</c:v>
                </c:pt>
                <c:pt idx="8">
                  <c:v>5.0744525547445258</c:v>
                </c:pt>
                <c:pt idx="9">
                  <c:v>5.0744525547445258</c:v>
                </c:pt>
                <c:pt idx="10">
                  <c:v>5.0744525547445258</c:v>
                </c:pt>
                <c:pt idx="11">
                  <c:v>5.0744525547445258</c:v>
                </c:pt>
                <c:pt idx="12">
                  <c:v>5.0744525547445258</c:v>
                </c:pt>
                <c:pt idx="13">
                  <c:v>5.0744525547445258</c:v>
                </c:pt>
                <c:pt idx="14">
                  <c:v>5.0744525547445258</c:v>
                </c:pt>
                <c:pt idx="15">
                  <c:v>5.0744525547445258</c:v>
                </c:pt>
                <c:pt idx="16">
                  <c:v>5.0744525547445258</c:v>
                </c:pt>
                <c:pt idx="17">
                  <c:v>5.0744525547445258</c:v>
                </c:pt>
                <c:pt idx="18">
                  <c:v>5.0744525547445258</c:v>
                </c:pt>
                <c:pt idx="19">
                  <c:v>5.0744525547445258</c:v>
                </c:pt>
                <c:pt idx="20">
                  <c:v>5.0744525547445258</c:v>
                </c:pt>
                <c:pt idx="21">
                  <c:v>5.0744525547445258</c:v>
                </c:pt>
                <c:pt idx="22">
                  <c:v>5.0744525547445258</c:v>
                </c:pt>
                <c:pt idx="23">
                  <c:v>5.0744525547445258</c:v>
                </c:pt>
                <c:pt idx="24">
                  <c:v>5.0744525547445258</c:v>
                </c:pt>
                <c:pt idx="25">
                  <c:v>5.0744525547445258</c:v>
                </c:pt>
                <c:pt idx="26">
                  <c:v>5.0744525547445258</c:v>
                </c:pt>
                <c:pt idx="27">
                  <c:v>4.996665090317876</c:v>
                </c:pt>
                <c:pt idx="28">
                  <c:v>4.7813971479059294</c:v>
                </c:pt>
                <c:pt idx="29">
                  <c:v>4.5661078315832953</c:v>
                </c:pt>
                <c:pt idx="30">
                  <c:v>4.3507971646238701</c:v>
                </c:pt>
                <c:pt idx="31">
                  <c:v>4.1354651679632806</c:v>
                </c:pt>
                <c:pt idx="32">
                  <c:v>3.9201132016490381</c:v>
                </c:pt>
                <c:pt idx="33">
                  <c:v>3.7047551310603124</c:v>
                </c:pt>
                <c:pt idx="34">
                  <c:v>3.4893946123837023</c:v>
                </c:pt>
                <c:pt idx="35">
                  <c:v>3.2740316456192069</c:v>
                </c:pt>
                <c:pt idx="36">
                  <c:v>3.0586662307668275</c:v>
                </c:pt>
                <c:pt idx="37">
                  <c:v>2.8432983678265629</c:v>
                </c:pt>
                <c:pt idx="38">
                  <c:v>2.6279280567984142</c:v>
                </c:pt>
                <c:pt idx="39">
                  <c:v>2.4125552976823803</c:v>
                </c:pt>
                <c:pt idx="40">
                  <c:v>2.1971800904784615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76A-4A8E-86F8-E0220D1E4260}"/>
            </c:ext>
          </c:extLst>
        </c:ser>
        <c:ser>
          <c:idx val="1"/>
          <c:order val="1"/>
          <c:tx>
            <c:strRef>
              <c:f>Dropout!$S$49</c:f>
              <c:strCache>
                <c:ptCount val="1"/>
                <c:pt idx="0">
                  <c:v>0.67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Dropout!$B$49:$B$89</c:f>
              <c:numCache>
                <c:formatCode>0.00</c:formatCode>
                <c:ptCount val="41"/>
                <c:pt idx="0">
                  <c:v>11.999999999999991</c:v>
                </c:pt>
                <c:pt idx="1">
                  <c:v>11.782499999999992</c:v>
                </c:pt>
                <c:pt idx="2">
                  <c:v>11.564999999999992</c:v>
                </c:pt>
                <c:pt idx="3">
                  <c:v>11.347499999999993</c:v>
                </c:pt>
                <c:pt idx="4">
                  <c:v>11.129999999999994</c:v>
                </c:pt>
                <c:pt idx="5">
                  <c:v>10.912499999999994</c:v>
                </c:pt>
                <c:pt idx="6">
                  <c:v>10.694999999999995</c:v>
                </c:pt>
                <c:pt idx="7">
                  <c:v>10.477499999999996</c:v>
                </c:pt>
                <c:pt idx="8">
                  <c:v>10.259999999999996</c:v>
                </c:pt>
                <c:pt idx="9">
                  <c:v>10.042499999999997</c:v>
                </c:pt>
                <c:pt idx="10">
                  <c:v>9.8249999999999975</c:v>
                </c:pt>
                <c:pt idx="11">
                  <c:v>9.6074999999999982</c:v>
                </c:pt>
                <c:pt idx="12">
                  <c:v>9.3899999999999988</c:v>
                </c:pt>
                <c:pt idx="13">
                  <c:v>9.1724999999999994</c:v>
                </c:pt>
                <c:pt idx="14">
                  <c:v>8.9550000000000001</c:v>
                </c:pt>
                <c:pt idx="15">
                  <c:v>8.7375000000000007</c:v>
                </c:pt>
                <c:pt idx="16">
                  <c:v>8.5200000000000014</c:v>
                </c:pt>
                <c:pt idx="17">
                  <c:v>8.302500000000002</c:v>
                </c:pt>
                <c:pt idx="18">
                  <c:v>8.0850000000000026</c:v>
                </c:pt>
                <c:pt idx="19">
                  <c:v>7.8675000000000033</c:v>
                </c:pt>
                <c:pt idx="20">
                  <c:v>7.650000000000003</c:v>
                </c:pt>
                <c:pt idx="21">
                  <c:v>7.4325000000000028</c:v>
                </c:pt>
                <c:pt idx="22">
                  <c:v>7.2150000000000025</c:v>
                </c:pt>
                <c:pt idx="23">
                  <c:v>6.9975000000000023</c:v>
                </c:pt>
                <c:pt idx="24">
                  <c:v>6.780000000000002</c:v>
                </c:pt>
                <c:pt idx="25">
                  <c:v>6.5625000000000018</c:v>
                </c:pt>
                <c:pt idx="26">
                  <c:v>6.3450000000000015</c:v>
                </c:pt>
                <c:pt idx="27">
                  <c:v>6.1275000000000013</c:v>
                </c:pt>
                <c:pt idx="28">
                  <c:v>5.910000000000001</c:v>
                </c:pt>
                <c:pt idx="29">
                  <c:v>5.6925000000000008</c:v>
                </c:pt>
                <c:pt idx="30">
                  <c:v>5.4750000000000005</c:v>
                </c:pt>
                <c:pt idx="31">
                  <c:v>5.2575000000000003</c:v>
                </c:pt>
                <c:pt idx="32">
                  <c:v>5.04</c:v>
                </c:pt>
                <c:pt idx="33">
                  <c:v>4.8224999999999998</c:v>
                </c:pt>
                <c:pt idx="34">
                  <c:v>4.6049999999999995</c:v>
                </c:pt>
                <c:pt idx="35">
                  <c:v>4.3874999999999993</c:v>
                </c:pt>
                <c:pt idx="36">
                  <c:v>4.169999999999999</c:v>
                </c:pt>
                <c:pt idx="37">
                  <c:v>3.9524999999999992</c:v>
                </c:pt>
                <c:pt idx="38">
                  <c:v>3.7349999999999994</c:v>
                </c:pt>
                <c:pt idx="39">
                  <c:v>3.5174999999999996</c:v>
                </c:pt>
                <c:pt idx="40">
                  <c:v>3.3</c:v>
                </c:pt>
              </c:numCache>
            </c:numRef>
          </c:xVal>
          <c:yVal>
            <c:numRef>
              <c:f>Dropout!$AH$49:$AH$89</c:f>
              <c:numCache>
                <c:formatCode>0.000</c:formatCode>
                <c:ptCount val="41"/>
                <c:pt idx="0">
                  <c:v>5.0744525547445258</c:v>
                </c:pt>
                <c:pt idx="1">
                  <c:v>5.0744525547445258</c:v>
                </c:pt>
                <c:pt idx="2">
                  <c:v>5.0744525547445258</c:v>
                </c:pt>
                <c:pt idx="3">
                  <c:v>5.0744525547445258</c:v>
                </c:pt>
                <c:pt idx="4">
                  <c:v>5.0744525547445258</c:v>
                </c:pt>
                <c:pt idx="5">
                  <c:v>5.0744525547445258</c:v>
                </c:pt>
                <c:pt idx="6">
                  <c:v>5.0744525547445258</c:v>
                </c:pt>
                <c:pt idx="7">
                  <c:v>5.0744525547445258</c:v>
                </c:pt>
                <c:pt idx="8">
                  <c:v>5.0744525547445258</c:v>
                </c:pt>
                <c:pt idx="9">
                  <c:v>5.0744525547445258</c:v>
                </c:pt>
                <c:pt idx="10">
                  <c:v>5.0744525547445258</c:v>
                </c:pt>
                <c:pt idx="11">
                  <c:v>5.0744525547445258</c:v>
                </c:pt>
                <c:pt idx="12">
                  <c:v>5.0744525547445258</c:v>
                </c:pt>
                <c:pt idx="13">
                  <c:v>5.0744525547445258</c:v>
                </c:pt>
                <c:pt idx="14">
                  <c:v>5.0744525547445258</c:v>
                </c:pt>
                <c:pt idx="15">
                  <c:v>5.0744525547445258</c:v>
                </c:pt>
                <c:pt idx="16">
                  <c:v>5.0744525547445258</c:v>
                </c:pt>
                <c:pt idx="17">
                  <c:v>5.0744525547445258</c:v>
                </c:pt>
                <c:pt idx="18">
                  <c:v>5.0744525547445258</c:v>
                </c:pt>
                <c:pt idx="19">
                  <c:v>5.0744525547445258</c:v>
                </c:pt>
                <c:pt idx="20">
                  <c:v>5.0744525547445258</c:v>
                </c:pt>
                <c:pt idx="21">
                  <c:v>5.0744525547445258</c:v>
                </c:pt>
                <c:pt idx="22">
                  <c:v>5.0744525547445258</c:v>
                </c:pt>
                <c:pt idx="23">
                  <c:v>5.0744525547445258</c:v>
                </c:pt>
                <c:pt idx="24">
                  <c:v>5.0744525547445258</c:v>
                </c:pt>
                <c:pt idx="25">
                  <c:v>5.0744525547445258</c:v>
                </c:pt>
                <c:pt idx="26">
                  <c:v>5.0744525547445258</c:v>
                </c:pt>
                <c:pt idx="27">
                  <c:v>5.0744525547445258</c:v>
                </c:pt>
                <c:pt idx="28">
                  <c:v>5.0744525547445258</c:v>
                </c:pt>
                <c:pt idx="29">
                  <c:v>4.9932808911673883</c:v>
                </c:pt>
                <c:pt idx="30">
                  <c:v>4.7778203706307423</c:v>
                </c:pt>
                <c:pt idx="31">
                  <c:v>4.5623486269199862</c:v>
                </c:pt>
                <c:pt idx="32">
                  <c:v>4.3468661154428911</c:v>
                </c:pt>
                <c:pt idx="33">
                  <c:v>4.1313800829518463</c:v>
                </c:pt>
                <c:pt idx="34">
                  <c:v>3.9158930687855378</c:v>
                </c:pt>
                <c:pt idx="35">
                  <c:v>3.7004050729439646</c:v>
                </c:pt>
                <c:pt idx="36">
                  <c:v>3.4849160954271268</c:v>
                </c:pt>
                <c:pt idx="37">
                  <c:v>3.2694261362350256</c:v>
                </c:pt>
                <c:pt idx="38">
                  <c:v>3.053935195367659</c:v>
                </c:pt>
                <c:pt idx="39">
                  <c:v>2.8384432728250282</c:v>
                </c:pt>
                <c:pt idx="40">
                  <c:v>2.6229503686071327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76A-4A8E-86F8-E0220D1E4260}"/>
            </c:ext>
          </c:extLst>
        </c:ser>
        <c:ser>
          <c:idx val="2"/>
          <c:order val="2"/>
          <c:tx>
            <c:strRef>
              <c:f>Dropout!$AI$49</c:f>
              <c:strCache>
                <c:ptCount val="1"/>
                <c:pt idx="0">
                  <c:v>0.33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Dropout!$B$49:$B$89</c:f>
              <c:numCache>
                <c:formatCode>0.00</c:formatCode>
                <c:ptCount val="41"/>
                <c:pt idx="0">
                  <c:v>11.999999999999991</c:v>
                </c:pt>
                <c:pt idx="1">
                  <c:v>11.782499999999992</c:v>
                </c:pt>
                <c:pt idx="2">
                  <c:v>11.564999999999992</c:v>
                </c:pt>
                <c:pt idx="3">
                  <c:v>11.347499999999993</c:v>
                </c:pt>
                <c:pt idx="4">
                  <c:v>11.129999999999994</c:v>
                </c:pt>
                <c:pt idx="5">
                  <c:v>10.912499999999994</c:v>
                </c:pt>
                <c:pt idx="6">
                  <c:v>10.694999999999995</c:v>
                </c:pt>
                <c:pt idx="7">
                  <c:v>10.477499999999996</c:v>
                </c:pt>
                <c:pt idx="8">
                  <c:v>10.259999999999996</c:v>
                </c:pt>
                <c:pt idx="9">
                  <c:v>10.042499999999997</c:v>
                </c:pt>
                <c:pt idx="10">
                  <c:v>9.8249999999999975</c:v>
                </c:pt>
                <c:pt idx="11">
                  <c:v>9.6074999999999982</c:v>
                </c:pt>
                <c:pt idx="12">
                  <c:v>9.3899999999999988</c:v>
                </c:pt>
                <c:pt idx="13">
                  <c:v>9.1724999999999994</c:v>
                </c:pt>
                <c:pt idx="14">
                  <c:v>8.9550000000000001</c:v>
                </c:pt>
                <c:pt idx="15">
                  <c:v>8.7375000000000007</c:v>
                </c:pt>
                <c:pt idx="16">
                  <c:v>8.5200000000000014</c:v>
                </c:pt>
                <c:pt idx="17">
                  <c:v>8.302500000000002</c:v>
                </c:pt>
                <c:pt idx="18">
                  <c:v>8.0850000000000026</c:v>
                </c:pt>
                <c:pt idx="19">
                  <c:v>7.8675000000000033</c:v>
                </c:pt>
                <c:pt idx="20">
                  <c:v>7.650000000000003</c:v>
                </c:pt>
                <c:pt idx="21">
                  <c:v>7.4325000000000028</c:v>
                </c:pt>
                <c:pt idx="22">
                  <c:v>7.2150000000000025</c:v>
                </c:pt>
                <c:pt idx="23">
                  <c:v>6.9975000000000023</c:v>
                </c:pt>
                <c:pt idx="24">
                  <c:v>6.780000000000002</c:v>
                </c:pt>
                <c:pt idx="25">
                  <c:v>6.5625000000000018</c:v>
                </c:pt>
                <c:pt idx="26">
                  <c:v>6.3450000000000015</c:v>
                </c:pt>
                <c:pt idx="27">
                  <c:v>6.1275000000000013</c:v>
                </c:pt>
                <c:pt idx="28">
                  <c:v>5.910000000000001</c:v>
                </c:pt>
                <c:pt idx="29">
                  <c:v>5.6925000000000008</c:v>
                </c:pt>
                <c:pt idx="30">
                  <c:v>5.4750000000000005</c:v>
                </c:pt>
                <c:pt idx="31">
                  <c:v>5.2575000000000003</c:v>
                </c:pt>
                <c:pt idx="32">
                  <c:v>5.04</c:v>
                </c:pt>
                <c:pt idx="33">
                  <c:v>4.8224999999999998</c:v>
                </c:pt>
                <c:pt idx="34">
                  <c:v>4.6049999999999995</c:v>
                </c:pt>
                <c:pt idx="35">
                  <c:v>4.3874999999999993</c:v>
                </c:pt>
                <c:pt idx="36">
                  <c:v>4.169999999999999</c:v>
                </c:pt>
                <c:pt idx="37">
                  <c:v>3.9524999999999992</c:v>
                </c:pt>
                <c:pt idx="38">
                  <c:v>3.7349999999999994</c:v>
                </c:pt>
                <c:pt idx="39">
                  <c:v>3.5174999999999996</c:v>
                </c:pt>
                <c:pt idx="40">
                  <c:v>3.3</c:v>
                </c:pt>
              </c:numCache>
            </c:numRef>
          </c:xVal>
          <c:yVal>
            <c:numRef>
              <c:f>Dropout!$AX$49:$AX$89</c:f>
              <c:numCache>
                <c:formatCode>0.000</c:formatCode>
                <c:ptCount val="41"/>
                <c:pt idx="0">
                  <c:v>5.0744525547445258</c:v>
                </c:pt>
                <c:pt idx="1">
                  <c:v>5.0744525547445258</c:v>
                </c:pt>
                <c:pt idx="2">
                  <c:v>5.0744525547445258</c:v>
                </c:pt>
                <c:pt idx="3">
                  <c:v>5.0744525547445258</c:v>
                </c:pt>
                <c:pt idx="4">
                  <c:v>5.0744525547445258</c:v>
                </c:pt>
                <c:pt idx="5">
                  <c:v>5.0744525547445258</c:v>
                </c:pt>
                <c:pt idx="6">
                  <c:v>5.0744525547445258</c:v>
                </c:pt>
                <c:pt idx="7">
                  <c:v>5.0744525547445258</c:v>
                </c:pt>
                <c:pt idx="8">
                  <c:v>5.0744525547445258</c:v>
                </c:pt>
                <c:pt idx="9">
                  <c:v>5.0744525547445258</c:v>
                </c:pt>
                <c:pt idx="10">
                  <c:v>5.0744525547445258</c:v>
                </c:pt>
                <c:pt idx="11">
                  <c:v>5.0744525547445258</c:v>
                </c:pt>
                <c:pt idx="12">
                  <c:v>5.0744525547445258</c:v>
                </c:pt>
                <c:pt idx="13">
                  <c:v>5.0744525547445258</c:v>
                </c:pt>
                <c:pt idx="14">
                  <c:v>5.0744525547445258</c:v>
                </c:pt>
                <c:pt idx="15">
                  <c:v>5.0744525547445258</c:v>
                </c:pt>
                <c:pt idx="16">
                  <c:v>5.0744525547445258</c:v>
                </c:pt>
                <c:pt idx="17">
                  <c:v>5.0744525547445258</c:v>
                </c:pt>
                <c:pt idx="18">
                  <c:v>5.0744525547445258</c:v>
                </c:pt>
                <c:pt idx="19">
                  <c:v>5.0744525547445258</c:v>
                </c:pt>
                <c:pt idx="20">
                  <c:v>5.0744525547445258</c:v>
                </c:pt>
                <c:pt idx="21">
                  <c:v>5.0744525547445258</c:v>
                </c:pt>
                <c:pt idx="22">
                  <c:v>5.0744525547445258</c:v>
                </c:pt>
                <c:pt idx="23">
                  <c:v>5.0744525547445258</c:v>
                </c:pt>
                <c:pt idx="24">
                  <c:v>5.0744525547445258</c:v>
                </c:pt>
                <c:pt idx="25">
                  <c:v>5.0744525547445258</c:v>
                </c:pt>
                <c:pt idx="26">
                  <c:v>5.0744525547445258</c:v>
                </c:pt>
                <c:pt idx="27">
                  <c:v>5.0744525547445258</c:v>
                </c:pt>
                <c:pt idx="28">
                  <c:v>5.0744525547445258</c:v>
                </c:pt>
                <c:pt idx="29">
                  <c:v>5.0744525547445258</c:v>
                </c:pt>
                <c:pt idx="30">
                  <c:v>5.0744525547445258</c:v>
                </c:pt>
                <c:pt idx="31">
                  <c:v>4.9049689312219895</c:v>
                </c:pt>
                <c:pt idx="32">
                  <c:v>4.6893920600902073</c:v>
                </c:pt>
                <c:pt idx="33">
                  <c:v>4.47381358598156</c:v>
                </c:pt>
                <c:pt idx="34">
                  <c:v>4.2582348800514431</c:v>
                </c:pt>
                <c:pt idx="35">
                  <c:v>4.0426559422998594</c:v>
                </c:pt>
                <c:pt idx="36">
                  <c:v>3.8270767727268096</c:v>
                </c:pt>
                <c:pt idx="37">
                  <c:v>3.6114973713322924</c:v>
                </c:pt>
                <c:pt idx="38">
                  <c:v>3.395917738116307</c:v>
                </c:pt>
                <c:pt idx="39">
                  <c:v>3.1803378730788552</c:v>
                </c:pt>
                <c:pt idx="40">
                  <c:v>2.9647577762199355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76A-4A8E-86F8-E0220D1E4260}"/>
            </c:ext>
          </c:extLst>
        </c:ser>
        <c:ser>
          <c:idx val="3"/>
          <c:order val="3"/>
          <c:tx>
            <c:v>Vin_min</c:v>
          </c:tx>
          <c:spPr>
            <a:ln>
              <a:solidFill>
                <a:srgbClr val="FF0000">
                  <a:alpha val="74000"/>
                </a:srgbClr>
              </a:solidFill>
            </a:ln>
          </c:spPr>
          <c:marker>
            <c:symbol val="none"/>
          </c:marker>
          <c:xVal>
            <c:numRef>
              <c:f>Dropout!$H$92:$H$93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xVal>
          <c:yVal>
            <c:numRef>
              <c:f>Dropout!$I$92:$I$93</c:f>
              <c:numCache>
                <c:formatCode>General</c:formatCode>
                <c:ptCount val="2"/>
                <c:pt idx="0">
                  <c:v>1</c:v>
                </c:pt>
                <c:pt idx="1">
                  <c:v>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76A-4A8E-86F8-E0220D1E4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0072656"/>
        <c:axId val="-50065584"/>
      </c:scatterChart>
      <c:valAx>
        <c:axId val="-50072656"/>
        <c:scaling>
          <c:orientation val="minMax"/>
          <c:max val="12"/>
          <c:min val="2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Input Voltage</a:t>
                </a:r>
                <a:r>
                  <a:rPr lang="en-US" baseline="0"/>
                  <a:t> (V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42932121716960808"/>
              <c:y val="0.9331984495315568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0065584"/>
        <c:crosses val="autoZero"/>
        <c:crossBetween val="midCat"/>
        <c:majorUnit val="1"/>
        <c:minorUnit val="0.5"/>
      </c:valAx>
      <c:valAx>
        <c:axId val="-50065584"/>
        <c:scaling>
          <c:orientation val="minMax"/>
          <c:max val="5.5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Output Voltage (V)</a:t>
                </a:r>
              </a:p>
            </c:rich>
          </c:tx>
          <c:layout>
            <c:manualLayout>
              <c:xMode val="edge"/>
              <c:yMode val="edge"/>
              <c:x val="5.7845894263217094E-3"/>
              <c:y val="0.3378438155481640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0072656"/>
        <c:crosses val="autoZero"/>
        <c:crossBetween val="midCat"/>
        <c:majorUnit val="0.5"/>
        <c:minorUnit val="0.2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7129394019289854"/>
          <c:y val="0.59622477016160413"/>
          <c:w val="0.1567343144606958"/>
          <c:h val="0.1761980693835863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DC Bias</a:t>
            </a:r>
            <a:r>
              <a:rPr lang="en-US" sz="1600" baseline="0"/>
              <a:t> Effect on 10uF/16V/X7R/1206</a:t>
            </a:r>
            <a:endParaRPr lang="en-US" sz="1600"/>
          </a:p>
        </c:rich>
      </c:tx>
      <c:layout>
        <c:manualLayout>
          <c:xMode val="edge"/>
          <c:yMode val="edge"/>
          <c:x val="0.14362228054826698"/>
          <c:y val="2.17983651226158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11863517060374"/>
          <c:y val="0.12319251646677815"/>
          <c:w val="0.82715987168271365"/>
          <c:h val="0.72752930406860061"/>
        </c:manualLayout>
      </c:layout>
      <c:scatterChart>
        <c:scatterStyle val="lineMarker"/>
        <c:varyColors val="0"/>
        <c:ser>
          <c:idx val="0"/>
          <c:order val="0"/>
          <c:tx>
            <c:v> Measured</c:v>
          </c:tx>
          <c:trendline>
            <c:name> Curve Fit</c:name>
            <c:spPr>
              <a:ln w="19050">
                <a:solidFill>
                  <a:srgbClr val="FF0000"/>
                </a:solidFill>
                <a:prstDash val="dash"/>
              </a:ln>
            </c:spPr>
            <c:trendlineType val="poly"/>
            <c:order val="3"/>
            <c:dispRSqr val="0"/>
            <c:dispEq val="1"/>
            <c:trendlineLbl>
              <c:layout>
                <c:manualLayout>
                  <c:x val="-0.17416739574220153"/>
                  <c:y val="4.7561343660380277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rgbClr val="FF0000"/>
                        </a:solidFill>
                      </a:defRPr>
                    </a:pPr>
                    <a:r>
                      <a:rPr lang="en-US" sz="1200" baseline="0"/>
                      <a:t>y = 0.0034x</a:t>
                    </a:r>
                    <a:r>
                      <a:rPr lang="en-US" sz="1200" baseline="30000"/>
                      <a:t>3</a:t>
                    </a:r>
                    <a:r>
                      <a:rPr lang="en-US" sz="1200" baseline="0"/>
                      <a:t> - 0.0743x</a:t>
                    </a:r>
                    <a:r>
                      <a:rPr lang="en-US" sz="1200" baseline="30000"/>
                      <a:t>2</a:t>
                    </a:r>
                    <a:r>
                      <a:rPr lang="en-US" sz="1200" baseline="0"/>
                      <a:t> + 0.0683x + 9.947</a:t>
                    </a:r>
                    <a:endParaRPr lang="en-US" sz="1200"/>
                  </a:p>
                </c:rich>
              </c:tx>
              <c:numFmt formatCode="General" sourceLinked="0"/>
              <c:spPr>
                <a:solidFill>
                  <a:sysClr val="window" lastClr="FFFFFF"/>
                </a:solidFill>
              </c:spPr>
            </c:trendlineLbl>
          </c:trendline>
          <c:xVal>
            <c:numRef>
              <c:f>Constants!$B$60:$B$64</c:f>
              <c:numCache>
                <c:formatCode>0.0</c:formatCode>
                <c:ptCount val="5"/>
                <c:pt idx="0">
                  <c:v>0.8</c:v>
                </c:pt>
                <c:pt idx="1">
                  <c:v>2</c:v>
                </c:pt>
                <c:pt idx="2">
                  <c:v>3.3</c:v>
                </c:pt>
                <c:pt idx="3">
                  <c:v>5</c:v>
                </c:pt>
                <c:pt idx="4">
                  <c:v>8</c:v>
                </c:pt>
              </c:numCache>
            </c:numRef>
          </c:xVal>
          <c:yVal>
            <c:numRef>
              <c:f>Constants!$C$60:$C$64</c:f>
              <c:numCache>
                <c:formatCode>0.00</c:formatCode>
                <c:ptCount val="5"/>
                <c:pt idx="0">
                  <c:v>9.9600000000000009</c:v>
                </c:pt>
                <c:pt idx="1">
                  <c:v>9.8000000000000007</c:v>
                </c:pt>
                <c:pt idx="2">
                  <c:v>9.5</c:v>
                </c:pt>
                <c:pt idx="3">
                  <c:v>8.85</c:v>
                </c:pt>
                <c:pt idx="4">
                  <c:v>7.48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22-461F-92EE-BD52E44EC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4890176"/>
        <c:axId val="-54896704"/>
      </c:scatterChart>
      <c:valAx>
        <c:axId val="-54890176"/>
        <c:scaling>
          <c:orientation val="minMax"/>
          <c:max val="8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/>
                  <a:t>DC Bias (V)</a:t>
                </a:r>
              </a:p>
            </c:rich>
          </c:tx>
          <c:layout>
            <c:manualLayout>
              <c:xMode val="edge"/>
              <c:yMode val="edge"/>
              <c:x val="0.44261184018664335"/>
              <c:y val="0.9174525663856045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54896704"/>
        <c:crosses val="autoZero"/>
        <c:crossBetween val="midCat"/>
        <c:majorUnit val="1"/>
        <c:minorUnit val="1"/>
      </c:valAx>
      <c:valAx>
        <c:axId val="-54896704"/>
        <c:scaling>
          <c:orientation val="minMax"/>
          <c:max val="10.5"/>
          <c:min val="7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/>
                  <a:t>Capacitance</a:t>
                </a:r>
              </a:p>
            </c:rich>
          </c:tx>
          <c:layout>
            <c:manualLayout>
              <c:xMode val="edge"/>
              <c:yMode val="edge"/>
              <c:x val="1.1942840478273547E-2"/>
              <c:y val="0.36412996059416775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548901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9405144356956416"/>
          <c:y val="0.14972044025831921"/>
          <c:w val="0.2491294117647059"/>
          <c:h val="0.12401320662871176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1357799</xdr:colOff>
      <xdr:row>0</xdr:row>
      <xdr:rowOff>523874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9AC9DC-5BD7-491E-9617-C850B4E3B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57798" cy="523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21</xdr:row>
      <xdr:rowOff>4310</xdr:rowOff>
    </xdr:from>
    <xdr:to>
      <xdr:col>13</xdr:col>
      <xdr:colOff>420123</xdr:colOff>
      <xdr:row>44</xdr:row>
      <xdr:rowOff>177800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45</xdr:row>
      <xdr:rowOff>53975</xdr:rowOff>
    </xdr:from>
    <xdr:to>
      <xdr:col>13</xdr:col>
      <xdr:colOff>420123</xdr:colOff>
      <xdr:row>69</xdr:row>
      <xdr:rowOff>34925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14</xdr:col>
      <xdr:colOff>17396</xdr:colOff>
      <xdr:row>21</xdr:row>
      <xdr:rowOff>26988</xdr:rowOff>
    </xdr:from>
    <xdr:to>
      <xdr:col>27</xdr:col>
      <xdr:colOff>418309</xdr:colOff>
      <xdr:row>45</xdr:row>
      <xdr:rowOff>14288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13</xdr:col>
      <xdr:colOff>426624</xdr:colOff>
      <xdr:row>45</xdr:row>
      <xdr:rowOff>176893</xdr:rowOff>
    </xdr:from>
    <xdr:to>
      <xdr:col>27</xdr:col>
      <xdr:colOff>379302</xdr:colOff>
      <xdr:row>69</xdr:row>
      <xdr:rowOff>164193</xdr:rowOff>
    </xdr:to>
    <xdr:graphicFrame macro="">
      <xdr:nvGraphicFramePr>
        <xdr:cNvPr id="10" name="Chart 6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28</xdr:col>
      <xdr:colOff>32817</xdr:colOff>
      <xdr:row>21</xdr:row>
      <xdr:rowOff>176893</xdr:rowOff>
    </xdr:from>
    <xdr:to>
      <xdr:col>41</xdr:col>
      <xdr:colOff>12708</xdr:colOff>
      <xdr:row>45</xdr:row>
      <xdr:rowOff>164193</xdr:rowOff>
    </xdr:to>
    <xdr:graphicFrame macro="">
      <xdr:nvGraphicFramePr>
        <xdr:cNvPr id="11" name="Chart 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27</xdr:col>
      <xdr:colOff>358589</xdr:colOff>
      <xdr:row>46</xdr:row>
      <xdr:rowOff>0</xdr:rowOff>
    </xdr:from>
    <xdr:to>
      <xdr:col>40</xdr:col>
      <xdr:colOff>448136</xdr:colOff>
      <xdr:row>69</xdr:row>
      <xdr:rowOff>177800</xdr:rowOff>
    </xdr:to>
    <xdr:graphicFrame macro="">
      <xdr:nvGraphicFramePr>
        <xdr:cNvPr id="13" name="Chart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224173</xdr:colOff>
      <xdr:row>5</xdr:row>
      <xdr:rowOff>152804</xdr:rowOff>
    </xdr:from>
    <xdr:to>
      <xdr:col>16</xdr:col>
      <xdr:colOff>140475</xdr:colOff>
      <xdr:row>33</xdr:row>
      <xdr:rowOff>133754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455526</xdr:colOff>
      <xdr:row>6</xdr:row>
      <xdr:rowOff>18647</xdr:rowOff>
    </xdr:from>
    <xdr:to>
      <xdr:col>31</xdr:col>
      <xdr:colOff>141258</xdr:colOff>
      <xdr:row>34</xdr:row>
      <xdr:rowOff>9123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16</xdr:row>
      <xdr:rowOff>171450</xdr:rowOff>
    </xdr:from>
    <xdr:to>
      <xdr:col>5</xdr:col>
      <xdr:colOff>473075</xdr:colOff>
      <xdr:row>30</xdr:row>
      <xdr:rowOff>95250</xdr:rowOff>
    </xdr:to>
    <xdr:pic>
      <xdr:nvPicPr>
        <xdr:cNvPr id="2" name="Picture 0" descr="A8600SAA19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90725" y="4362450"/>
          <a:ext cx="3454400" cy="259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112058</xdr:colOff>
      <xdr:row>48</xdr:row>
      <xdr:rowOff>36419</xdr:rowOff>
    </xdr:from>
    <xdr:to>
      <xdr:col>14</xdr:col>
      <xdr:colOff>97490</xdr:colOff>
      <xdr:row>67</xdr:row>
      <xdr:rowOff>16809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0"/>
  <sheetViews>
    <sheetView tabSelected="1" zoomScale="85" zoomScaleNormal="85" workbookViewId="0">
      <selection activeCell="B3" sqref="B3:C3"/>
    </sheetView>
  </sheetViews>
  <sheetFormatPr defaultRowHeight="15" x14ac:dyDescent="0.25"/>
  <cols>
    <col min="1" max="1" width="23.85546875" style="51" customWidth="1"/>
    <col min="2" max="4" width="12.7109375" style="41" customWidth="1"/>
    <col min="5" max="5" width="15.7109375" style="153" customWidth="1"/>
    <col min="6" max="6" width="15.7109375" style="41" customWidth="1"/>
    <col min="7" max="8" width="9.140625" style="41"/>
    <col min="9" max="9" width="9.140625" style="41" customWidth="1"/>
    <col min="10" max="10" width="9.140625" style="186" customWidth="1"/>
    <col min="11" max="11" width="9.140625" style="41"/>
    <col min="12" max="12" width="9.7109375" style="41" bestFit="1" customWidth="1"/>
    <col min="13" max="16384" width="9.140625" style="41"/>
  </cols>
  <sheetData>
    <row r="1" spans="1:11" ht="41.25" customHeight="1" thickBot="1" x14ac:dyDescent="0.3">
      <c r="A1" s="378"/>
      <c r="B1" s="431" t="s">
        <v>328</v>
      </c>
      <c r="C1" s="432"/>
      <c r="D1" s="432"/>
      <c r="E1" s="432"/>
      <c r="F1" s="432"/>
      <c r="G1" s="432"/>
      <c r="H1" s="432"/>
      <c r="I1" s="433"/>
      <c r="J1" s="186" t="s">
        <v>320</v>
      </c>
      <c r="K1" s="186"/>
    </row>
    <row r="2" spans="1:11" ht="37.5" customHeight="1" thickBot="1" x14ac:dyDescent="0.3">
      <c r="A2" s="434" t="s">
        <v>327</v>
      </c>
      <c r="B2" s="311"/>
      <c r="C2" s="311"/>
      <c r="D2" s="311"/>
      <c r="E2" s="311"/>
      <c r="F2" s="311"/>
      <c r="G2" s="311"/>
      <c r="H2" s="311"/>
      <c r="I2" s="312"/>
      <c r="J2" s="186" t="s">
        <v>321</v>
      </c>
      <c r="K2" s="186"/>
    </row>
    <row r="3" spans="1:11" ht="24" customHeight="1" thickBot="1" x14ac:dyDescent="0.3">
      <c r="A3" s="435" t="s">
        <v>324</v>
      </c>
      <c r="B3" s="428" t="s">
        <v>320</v>
      </c>
      <c r="C3" s="429"/>
      <c r="D3" s="436"/>
      <c r="E3" s="436"/>
      <c r="F3" s="436"/>
      <c r="G3" s="436"/>
      <c r="H3" s="436"/>
      <c r="I3" s="437"/>
      <c r="J3" s="186">
        <v>0</v>
      </c>
      <c r="K3" s="186"/>
    </row>
    <row r="4" spans="1:11" s="377" customFormat="1" ht="15.75" customHeight="1" thickBot="1" x14ac:dyDescent="0.3">
      <c r="A4" s="438"/>
      <c r="B4" s="439"/>
      <c r="C4" s="440" t="s">
        <v>329</v>
      </c>
      <c r="D4" s="430">
        <v>0</v>
      </c>
      <c r="E4" s="441" t="s">
        <v>330</v>
      </c>
      <c r="F4" s="442"/>
      <c r="G4" s="442"/>
      <c r="H4" s="442"/>
      <c r="I4" s="443"/>
      <c r="J4" s="186">
        <v>1</v>
      </c>
      <c r="K4" s="186"/>
    </row>
    <row r="5" spans="1:11" s="49" customFormat="1" ht="18" customHeight="1" thickBot="1" x14ac:dyDescent="0.35">
      <c r="A5" s="313" t="s">
        <v>1</v>
      </c>
      <c r="B5" s="315" t="s">
        <v>2</v>
      </c>
      <c r="C5" s="315" t="s">
        <v>3</v>
      </c>
      <c r="D5" s="315" t="s">
        <v>4</v>
      </c>
      <c r="E5" s="314" t="s">
        <v>5</v>
      </c>
      <c r="F5" s="316" t="s">
        <v>6</v>
      </c>
      <c r="G5" s="444"/>
      <c r="H5" s="444"/>
      <c r="I5" s="445"/>
      <c r="J5" s="427"/>
    </row>
    <row r="6" spans="1:11" ht="18.75" customHeight="1" thickBot="1" x14ac:dyDescent="0.3">
      <c r="A6" s="331" t="s">
        <v>7</v>
      </c>
      <c r="B6" s="1">
        <v>6</v>
      </c>
      <c r="C6" s="1">
        <v>12</v>
      </c>
      <c r="D6" s="1">
        <v>16</v>
      </c>
      <c r="E6" s="446" t="s">
        <v>8</v>
      </c>
      <c r="F6" s="447" t="str">
        <f>IF(B6&lt;Constants!D7,"Vin_min is lower than UVLO Stop_max","Steady-state input operating voltages")</f>
        <v>Steady-state input operating voltages</v>
      </c>
      <c r="G6" s="448"/>
      <c r="H6" s="448"/>
      <c r="I6" s="449"/>
    </row>
    <row r="7" spans="1:11" ht="18.75" customHeight="1" thickBot="1" x14ac:dyDescent="0.3">
      <c r="A7" s="450" t="s">
        <v>9</v>
      </c>
      <c r="B7" s="451" t="s">
        <v>10</v>
      </c>
      <c r="C7" s="2">
        <v>5</v>
      </c>
      <c r="D7" s="452"/>
      <c r="E7" s="334" t="s">
        <v>8</v>
      </c>
      <c r="F7" s="447" t="s">
        <v>11</v>
      </c>
      <c r="G7" s="448"/>
      <c r="H7" s="448"/>
      <c r="I7" s="449"/>
    </row>
    <row r="8" spans="1:11" ht="18.75" customHeight="1" thickBot="1" x14ac:dyDescent="0.3">
      <c r="A8" s="450" t="s">
        <v>12</v>
      </c>
      <c r="B8" s="453" t="s">
        <v>13</v>
      </c>
      <c r="C8" s="454" t="s">
        <v>13</v>
      </c>
      <c r="D8" s="3">
        <v>1</v>
      </c>
      <c r="E8" s="446" t="s">
        <v>14</v>
      </c>
      <c r="F8" s="447" t="s">
        <v>15</v>
      </c>
      <c r="G8" s="448"/>
      <c r="H8" s="448"/>
      <c r="I8" s="449"/>
    </row>
    <row r="9" spans="1:11" ht="18.75" customHeight="1" thickBot="1" x14ac:dyDescent="0.3">
      <c r="A9" s="455" t="s">
        <v>16</v>
      </c>
      <c r="B9" s="332" t="s">
        <v>13</v>
      </c>
      <c r="C9" s="4">
        <v>35</v>
      </c>
      <c r="D9" s="452" t="s">
        <v>13</v>
      </c>
      <c r="E9" s="334" t="s">
        <v>17</v>
      </c>
      <c r="F9" s="447" t="s">
        <v>18</v>
      </c>
      <c r="G9" s="448"/>
      <c r="H9" s="448"/>
      <c r="I9" s="449"/>
    </row>
    <row r="10" spans="1:11" ht="18.75" customHeight="1" thickBot="1" x14ac:dyDescent="0.3">
      <c r="A10" s="450" t="s">
        <v>19</v>
      </c>
      <c r="B10" s="456" t="s">
        <v>13</v>
      </c>
      <c r="C10" s="451" t="s">
        <v>13</v>
      </c>
      <c r="D10" s="5">
        <v>1</v>
      </c>
      <c r="E10" s="446" t="s">
        <v>20</v>
      </c>
      <c r="F10" s="447" t="s">
        <v>21</v>
      </c>
      <c r="G10" s="448"/>
      <c r="H10" s="448"/>
      <c r="I10" s="449"/>
    </row>
    <row r="11" spans="1:11" ht="18.75" customHeight="1" thickBot="1" x14ac:dyDescent="0.3">
      <c r="A11" s="450" t="s">
        <v>22</v>
      </c>
      <c r="B11" s="457" t="s">
        <v>13</v>
      </c>
      <c r="C11" s="332" t="s">
        <v>13</v>
      </c>
      <c r="D11" s="5">
        <v>1</v>
      </c>
      <c r="E11" s="446" t="s">
        <v>20</v>
      </c>
      <c r="F11" s="447" t="s">
        <v>21</v>
      </c>
      <c r="G11" s="448"/>
      <c r="H11" s="448"/>
      <c r="I11" s="449"/>
    </row>
    <row r="12" spans="1:11" ht="18.75" customHeight="1" thickBot="1" x14ac:dyDescent="0.3">
      <c r="A12" s="331" t="s">
        <v>23</v>
      </c>
      <c r="B12" s="5">
        <v>-20</v>
      </c>
      <c r="C12" s="458" t="s">
        <v>13</v>
      </c>
      <c r="D12" s="5">
        <v>20</v>
      </c>
      <c r="E12" s="446" t="s">
        <v>20</v>
      </c>
      <c r="F12" s="447" t="s">
        <v>24</v>
      </c>
      <c r="G12" s="448"/>
      <c r="H12" s="448"/>
      <c r="I12" s="449"/>
    </row>
    <row r="13" spans="1:11" ht="18.75" customHeight="1" thickBot="1" x14ac:dyDescent="0.3">
      <c r="A13" s="459" t="s">
        <v>25</v>
      </c>
      <c r="B13" s="460" t="s">
        <v>13</v>
      </c>
      <c r="C13" s="6">
        <v>0.75</v>
      </c>
      <c r="D13" s="452" t="s">
        <v>13</v>
      </c>
      <c r="E13" s="461" t="s">
        <v>26</v>
      </c>
      <c r="F13" s="462" t="s">
        <v>27</v>
      </c>
      <c r="G13" s="463"/>
      <c r="H13" s="463"/>
      <c r="I13" s="464"/>
    </row>
    <row r="14" spans="1:11" ht="18.75" customHeight="1" thickBot="1" x14ac:dyDescent="0.3">
      <c r="A14" s="450" t="s">
        <v>28</v>
      </c>
      <c r="B14" s="332" t="s">
        <v>13</v>
      </c>
      <c r="C14" s="7">
        <v>34</v>
      </c>
      <c r="D14" s="465" t="s">
        <v>13</v>
      </c>
      <c r="E14" s="334" t="s">
        <v>29</v>
      </c>
      <c r="F14" s="447" t="s">
        <v>30</v>
      </c>
      <c r="G14" s="448"/>
      <c r="H14" s="448"/>
      <c r="I14" s="449"/>
    </row>
    <row r="15" spans="1:11" ht="18.75" customHeight="1" thickBot="1" x14ac:dyDescent="0.3">
      <c r="A15" s="466" t="s">
        <v>31</v>
      </c>
      <c r="B15" s="467" t="s">
        <v>13</v>
      </c>
      <c r="C15" s="468" t="s">
        <v>13</v>
      </c>
      <c r="D15" s="5">
        <v>80</v>
      </c>
      <c r="E15" s="469" t="s">
        <v>32</v>
      </c>
      <c r="F15" s="344" t="s">
        <v>33</v>
      </c>
      <c r="G15" s="470"/>
      <c r="H15" s="470"/>
      <c r="I15" s="471"/>
    </row>
    <row r="16" spans="1:11" ht="32.1" customHeight="1" thickBot="1" x14ac:dyDescent="0.3">
      <c r="A16" s="347" t="s">
        <v>34</v>
      </c>
      <c r="B16" s="472"/>
      <c r="C16" s="472"/>
      <c r="D16" s="472"/>
      <c r="E16" s="472"/>
      <c r="F16" s="472"/>
      <c r="G16" s="472"/>
      <c r="H16" s="472"/>
      <c r="I16" s="473"/>
    </row>
    <row r="17" spans="1:14" s="49" customFormat="1" ht="18" customHeight="1" x14ac:dyDescent="0.3">
      <c r="A17" s="350" t="s">
        <v>35</v>
      </c>
      <c r="B17" s="351" t="s">
        <v>36</v>
      </c>
      <c r="C17" s="351" t="s">
        <v>5</v>
      </c>
      <c r="D17" s="352" t="s">
        <v>6</v>
      </c>
      <c r="E17" s="353"/>
      <c r="F17" s="353"/>
      <c r="G17" s="353"/>
      <c r="H17" s="353"/>
      <c r="I17" s="354"/>
      <c r="J17" s="427"/>
    </row>
    <row r="18" spans="1:14" s="49" customFormat="1" ht="18" customHeight="1" x14ac:dyDescent="0.3">
      <c r="A18" s="474" t="s">
        <v>37</v>
      </c>
      <c r="B18" s="475"/>
      <c r="C18" s="475"/>
      <c r="D18" s="475"/>
      <c r="E18" s="475"/>
      <c r="F18" s="475"/>
      <c r="G18" s="475"/>
      <c r="H18" s="475"/>
      <c r="I18" s="476"/>
      <c r="J18" s="427"/>
    </row>
    <row r="19" spans="1:14" ht="15.75" thickBot="1" x14ac:dyDescent="0.3">
      <c r="A19" s="358" t="s">
        <v>38</v>
      </c>
      <c r="B19" s="359">
        <f>732</f>
        <v>732</v>
      </c>
      <c r="C19" s="360" t="s">
        <v>39</v>
      </c>
      <c r="D19" s="361" t="s">
        <v>314</v>
      </c>
      <c r="E19" s="360"/>
      <c r="F19" s="362"/>
      <c r="G19" s="362"/>
      <c r="H19" s="362"/>
      <c r="I19" s="363"/>
      <c r="K19" s="50"/>
    </row>
    <row r="20" spans="1:14" ht="15.75" thickBot="1" x14ac:dyDescent="0.3">
      <c r="A20" s="366" t="s">
        <v>40</v>
      </c>
      <c r="B20" s="152">
        <v>732</v>
      </c>
      <c r="C20" s="370" t="s">
        <v>41</v>
      </c>
      <c r="D20" s="361" t="s">
        <v>315</v>
      </c>
      <c r="E20" s="360"/>
      <c r="F20" s="362"/>
      <c r="G20" s="362"/>
      <c r="H20" s="362"/>
      <c r="I20" s="363"/>
    </row>
    <row r="21" spans="1:14" ht="15.75" thickBot="1" x14ac:dyDescent="0.3">
      <c r="A21" s="358" t="s">
        <v>42</v>
      </c>
      <c r="B21" s="359">
        <f>(RFB1_calc)/((Vout/VFB_typ)-1)</f>
        <v>139.42857142857142</v>
      </c>
      <c r="C21" s="360" t="s">
        <v>39</v>
      </c>
      <c r="D21" s="361" t="s">
        <v>316</v>
      </c>
      <c r="E21" s="360"/>
      <c r="F21" s="362"/>
      <c r="G21" s="362"/>
      <c r="H21" s="362"/>
      <c r="I21" s="363"/>
    </row>
    <row r="22" spans="1:14" ht="15.75" thickBot="1" x14ac:dyDescent="0.3">
      <c r="A22" s="477" t="s">
        <v>43</v>
      </c>
      <c r="B22" s="152">
        <v>137</v>
      </c>
      <c r="C22" s="478" t="s">
        <v>41</v>
      </c>
      <c r="D22" s="374" t="s">
        <v>315</v>
      </c>
      <c r="E22" s="479"/>
      <c r="F22" s="375"/>
      <c r="G22" s="375"/>
      <c r="H22" s="375"/>
      <c r="I22" s="376"/>
    </row>
    <row r="23" spans="1:14" ht="15.75" customHeight="1" x14ac:dyDescent="0.25">
      <c r="A23" s="480" t="s">
        <v>44</v>
      </c>
      <c r="B23" s="481"/>
      <c r="C23" s="481"/>
      <c r="D23" s="481"/>
      <c r="E23" s="481"/>
      <c r="F23" s="481"/>
      <c r="G23" s="481"/>
      <c r="H23" s="481"/>
      <c r="I23" s="482"/>
    </row>
    <row r="24" spans="1:14" ht="15.75" x14ac:dyDescent="0.25">
      <c r="A24" s="358" t="s">
        <v>45</v>
      </c>
      <c r="B24" s="483">
        <f>VFB_min*(1+(1-RFB1tol_max/100)*IF(ISBLANK(RFB1_Sel),RFB1_calc,RFB1_Sel)/((1+RFB2tol_max/100)*IF(ISBLANK(RFB2_Sel),RFB2_calc,RFB2_Sel)))</f>
        <v>4.9149627809496277</v>
      </c>
      <c r="C24" s="483">
        <f>VFB_typ*(1+IF(ISBLANK(RFB1_Sel),RFB1_calc,RFB1_Sel)/IF(ISBLANK(RFB2_Sel),RFB2_calc,RFB2_Sel))</f>
        <v>5.0744525547445258</v>
      </c>
      <c r="D24" s="483">
        <f>(VFB_max+0)*(1+(1+RFB1tol_max/100)*IF(ISBLANK(RFB1_Sel),RFB1_calc,RFB1_Sel)/((1-RFB1tol_max/100)*IF(ISBLANK(RFB2_Sel),RFB2_calc,RFB2_Sel)))</f>
        <v>5.2382172085821734</v>
      </c>
      <c r="E24" s="361" t="s">
        <v>46</v>
      </c>
      <c r="F24" s="362"/>
      <c r="G24" s="362"/>
      <c r="H24" s="362"/>
      <c r="I24" s="363"/>
      <c r="K24" s="186"/>
      <c r="L24" s="186"/>
    </row>
    <row r="25" spans="1:14" ht="15.75" thickBot="1" x14ac:dyDescent="0.3">
      <c r="A25" s="358" t="s">
        <v>47</v>
      </c>
      <c r="B25" s="484">
        <f ca="1">MIN(Efficiency!AU4:AU11, Efficiency!AU14:AU21)</f>
        <v>32.01657858942805</v>
      </c>
      <c r="C25" s="484">
        <f ca="1">AVERAGE(Efficiency!Y4:Y11,Efficiency!Y14:Y21)</f>
        <v>45.690404334069882</v>
      </c>
      <c r="D25" s="484">
        <f ca="1">MAX(Efficiency!C4:C11,Efficiency!C14:C21)</f>
        <v>95.8</v>
      </c>
      <c r="E25" s="361" t="s">
        <v>48</v>
      </c>
      <c r="F25" s="485"/>
      <c r="G25" s="362"/>
      <c r="H25" s="362"/>
      <c r="I25" s="363"/>
      <c r="K25" s="186"/>
      <c r="L25" s="186"/>
    </row>
    <row r="26" spans="1:14" ht="15.75" customHeight="1" x14ac:dyDescent="0.25">
      <c r="A26" s="480" t="s">
        <v>49</v>
      </c>
      <c r="B26" s="481"/>
      <c r="C26" s="481"/>
      <c r="D26" s="481"/>
      <c r="E26" s="481"/>
      <c r="F26" s="481"/>
      <c r="G26" s="481"/>
      <c r="H26" s="481"/>
      <c r="I26" s="482"/>
      <c r="K26" s="186"/>
      <c r="L26" s="187"/>
    </row>
    <row r="27" spans="1:14" ht="15.75" customHeight="1" thickBot="1" x14ac:dyDescent="0.3">
      <c r="A27" s="358" t="s">
        <v>50</v>
      </c>
      <c r="B27" s="486">
        <f ca="1">MIN(SysDuty_min/100/tonmin_max/0.000000001/1000000, Fsw_max)</f>
        <v>2.15</v>
      </c>
      <c r="C27" s="360" t="s">
        <v>51</v>
      </c>
      <c r="D27" s="487" t="s">
        <v>52</v>
      </c>
      <c r="E27" s="360"/>
      <c r="F27" s="362"/>
      <c r="G27" s="362"/>
      <c r="H27" s="362"/>
      <c r="I27" s="363"/>
      <c r="K27" s="186"/>
      <c r="L27" s="186"/>
    </row>
    <row r="28" spans="1:14" ht="15.75" thickBot="1" x14ac:dyDescent="0.3">
      <c r="A28" s="358" t="s">
        <v>53</v>
      </c>
      <c r="B28" s="9">
        <v>0.4</v>
      </c>
      <c r="C28" s="360" t="s">
        <v>51</v>
      </c>
      <c r="D28" s="488" t="s">
        <v>54</v>
      </c>
      <c r="E28" s="489" t="str">
        <f ca="1">IF(AND(Fsw_min&lt;=Fsw_Sel, Fsw_Sel&lt;=Fsw_max),IF(D25&gt;B31,"See the DROPOUT tab for operation approaching Vin_min"," "),"Frequency out of range")</f>
        <v>See the DROPOUT tab for operation approaching Vin_min</v>
      </c>
      <c r="F28" s="490"/>
      <c r="G28" s="491"/>
      <c r="H28" s="490"/>
      <c r="I28" s="363"/>
      <c r="K28" s="186"/>
      <c r="L28" s="186"/>
      <c r="M28" s="153"/>
      <c r="N28" s="43"/>
    </row>
    <row r="29" spans="1:14" ht="18" x14ac:dyDescent="0.35">
      <c r="A29" s="366" t="s">
        <v>55</v>
      </c>
      <c r="B29" s="492">
        <f>(1/(IF(ISBLANK(Fsw_Sel),Fsw_Recom,Fsw_Sel))-0.08)/0.027</f>
        <v>89.629629629629633</v>
      </c>
      <c r="C29" s="370" t="s">
        <v>41</v>
      </c>
      <c r="D29" s="487" t="s">
        <v>56</v>
      </c>
      <c r="E29" s="360"/>
      <c r="F29" s="362"/>
      <c r="G29" s="362"/>
      <c r="H29" s="362"/>
      <c r="I29" s="363"/>
      <c r="K29" s="186"/>
      <c r="L29" s="187"/>
    </row>
    <row r="30" spans="1:14" ht="18" x14ac:dyDescent="0.35">
      <c r="A30" s="358" t="s">
        <v>57</v>
      </c>
      <c r="B30" s="484">
        <f>100*IF(ISBLANK(Fsw_Sel),Fsw_Recom,Fsw_Sel)*1000000*tonmin_typ/1000000000</f>
        <v>2.4</v>
      </c>
      <c r="C30" s="484">
        <f>100*IF(ISBLANK(Fsw_Sel),Fsw_Recom,Fsw_Sel)*1000000*tonmin_max/1000000000</f>
        <v>3.4</v>
      </c>
      <c r="D30" s="361" t="s">
        <v>58</v>
      </c>
      <c r="E30" s="360"/>
      <c r="F30" s="362"/>
      <c r="G30" s="362"/>
      <c r="H30" s="362"/>
      <c r="I30" s="363"/>
      <c r="K30" s="188"/>
      <c r="L30" s="187"/>
      <c r="M30" s="153"/>
      <c r="N30" s="43"/>
    </row>
    <row r="31" spans="1:14" ht="18" x14ac:dyDescent="0.35">
      <c r="A31" s="358" t="s">
        <v>59</v>
      </c>
      <c r="B31" s="493">
        <f>100*(1-IF(ISBLANK(Fsw_Sel),Fsw_Recom,Fsw_Sel)*1000000*(toffmin_max+2*tnonOverlap)/1000000000)</f>
        <v>94.8</v>
      </c>
      <c r="C31" s="484">
        <f>100*(1-IF(ISBLANK(Fsw_Sel),Fsw_Recom,Fsw_Sel)*1000000*(toffmin_typ+2*tnonOverlap)/1000000000)</f>
        <v>95.8</v>
      </c>
      <c r="D31" s="361" t="s">
        <v>60</v>
      </c>
      <c r="E31" s="360"/>
      <c r="F31" s="362"/>
      <c r="G31" s="362"/>
      <c r="H31" s="362"/>
      <c r="I31" s="363"/>
      <c r="K31" s="188"/>
      <c r="L31" s="187"/>
      <c r="M31" s="153"/>
      <c r="N31" s="43"/>
    </row>
    <row r="32" spans="1:14" ht="18.75" thickBot="1" x14ac:dyDescent="0.4">
      <c r="A32" s="358" t="s">
        <v>317</v>
      </c>
      <c r="B32" s="493">
        <f>100*(1-IF(ISBLANK(Fsw_Sel),Fsw_Recom/4,Fsw_Sel/4)*1000000*(toffmin_max+2*tnonOverlap)/1000000000)</f>
        <v>98.7</v>
      </c>
      <c r="C32" s="484">
        <f>100*(1-IF(ISBLANK(Fsw_Sel),Fsw_Recom/4,Fsw_Sel/4)*1000000*(toffmin_typ+2*tnonOverlap)/1000000000)</f>
        <v>98.95</v>
      </c>
      <c r="D32" s="361" t="s">
        <v>318</v>
      </c>
      <c r="E32" s="360"/>
      <c r="F32" s="362"/>
      <c r="G32" s="362"/>
      <c r="H32" s="362"/>
      <c r="I32" s="363"/>
      <c r="K32" s="188"/>
      <c r="L32" s="187"/>
      <c r="M32" s="153"/>
      <c r="N32" s="43"/>
    </row>
    <row r="33" spans="1:14" ht="18.75" thickBot="1" x14ac:dyDescent="0.4">
      <c r="A33" s="494" t="s">
        <v>61</v>
      </c>
      <c r="B33" s="9">
        <v>0.4</v>
      </c>
      <c r="C33" s="479" t="s">
        <v>51</v>
      </c>
      <c r="D33" s="374" t="s">
        <v>62</v>
      </c>
      <c r="E33" s="479"/>
      <c r="F33" s="375"/>
      <c r="G33" s="375"/>
      <c r="H33" s="375"/>
      <c r="I33" s="376"/>
      <c r="K33" s="186"/>
      <c r="L33" s="186"/>
    </row>
    <row r="34" spans="1:14" ht="15.75" customHeight="1" x14ac:dyDescent="0.25">
      <c r="A34" s="480" t="s">
        <v>63</v>
      </c>
      <c r="B34" s="481"/>
      <c r="C34" s="481"/>
      <c r="D34" s="481"/>
      <c r="E34" s="481"/>
      <c r="F34" s="481"/>
      <c r="G34" s="481"/>
      <c r="H34" s="481"/>
      <c r="I34" s="482"/>
      <c r="K34" s="188"/>
      <c r="L34" s="189"/>
      <c r="M34" s="153"/>
      <c r="N34" s="43"/>
    </row>
    <row r="35" spans="1:14" ht="15.75" customHeight="1" x14ac:dyDescent="0.25">
      <c r="A35" s="495" t="s">
        <v>64</v>
      </c>
      <c r="B35" s="496">
        <f ca="1">0.4*Vout/ChosenSE_max</f>
        <v>9.9488926746166992</v>
      </c>
      <c r="C35" s="496">
        <f ca="1">1.1*Vout/ChosenSE_min</f>
        <v>44.449648711943802</v>
      </c>
      <c r="D35" s="497" t="s">
        <v>65</v>
      </c>
      <c r="E35" s="498" t="s">
        <v>66</v>
      </c>
      <c r="F35" s="499"/>
      <c r="G35" s="499"/>
      <c r="H35" s="499"/>
      <c r="I35" s="500"/>
      <c r="K35" s="188"/>
      <c r="L35" s="187"/>
      <c r="M35" s="153"/>
      <c r="N35" s="43"/>
    </row>
    <row r="36" spans="1:14" ht="15.75" customHeight="1" thickBot="1" x14ac:dyDescent="0.3">
      <c r="A36" s="495" t="s">
        <v>67</v>
      </c>
      <c r="B36" s="501">
        <f ca="1">(Vin_typ-Vout)*SysDuty_typ/100/(Fsw_Sel*RippleIout_percent/100*Iout)</f>
        <v>22.845202167034941</v>
      </c>
      <c r="C36" s="501"/>
      <c r="D36" s="497" t="s">
        <v>65</v>
      </c>
      <c r="E36" s="488" t="s">
        <v>68</v>
      </c>
      <c r="F36" s="499"/>
      <c r="G36" s="499"/>
      <c r="H36" s="499"/>
      <c r="I36" s="500"/>
      <c r="K36" s="188"/>
      <c r="L36" s="187"/>
      <c r="M36" s="153"/>
      <c r="N36" s="43"/>
    </row>
    <row r="37" spans="1:14" ht="18.75" thickBot="1" x14ac:dyDescent="0.4">
      <c r="A37" s="366" t="s">
        <v>69</v>
      </c>
      <c r="B37" s="198">
        <v>22</v>
      </c>
      <c r="C37" s="199"/>
      <c r="D37" s="502" t="s">
        <v>70</v>
      </c>
      <c r="E37" s="498" t="s">
        <v>71</v>
      </c>
      <c r="F37" s="503"/>
      <c r="G37" s="503"/>
      <c r="H37" s="503"/>
      <c r="I37" s="363"/>
      <c r="K37" s="186"/>
      <c r="L37" s="186"/>
    </row>
    <row r="38" spans="1:14" ht="18.75" thickBot="1" x14ac:dyDescent="0.4">
      <c r="A38" s="504" t="s">
        <v>72</v>
      </c>
      <c r="B38" s="200">
        <v>35</v>
      </c>
      <c r="C38" s="201"/>
      <c r="D38" s="505" t="s">
        <v>73</v>
      </c>
      <c r="E38" s="506" t="s">
        <v>74</v>
      </c>
      <c r="F38" s="507"/>
      <c r="G38" s="507"/>
      <c r="H38" s="507"/>
      <c r="I38" s="508"/>
      <c r="K38" s="186"/>
      <c r="L38" s="186"/>
    </row>
    <row r="39" spans="1:14" ht="18" x14ac:dyDescent="0.25">
      <c r="A39" s="358" t="s">
        <v>75</v>
      </c>
      <c r="B39" s="509">
        <f ca="1">(Vin_typ-Vout_typ)/(IF(ISBLANK(Lo_sel),(Lo_min+Lo_max)/2,Lo_sel)*0.000001)*(SysDuty_typ/100)/(IF(ISBLANK(Fsw_Sel),Fsw_Recom,Fsw_Sel)*1000000)</f>
        <v>0.35958075341875839</v>
      </c>
      <c r="C39" s="509"/>
      <c r="D39" s="497" t="s">
        <v>76</v>
      </c>
      <c r="E39" s="498" t="s">
        <v>77</v>
      </c>
      <c r="F39" s="503"/>
      <c r="G39" s="503"/>
      <c r="H39" s="503"/>
      <c r="I39" s="363"/>
      <c r="K39" s="186"/>
      <c r="L39" s="187"/>
      <c r="M39" s="153"/>
      <c r="N39" s="153"/>
    </row>
    <row r="40" spans="1:14" ht="18" x14ac:dyDescent="0.25">
      <c r="A40" s="358" t="s">
        <v>78</v>
      </c>
      <c r="B40" s="509">
        <f ca="1">(Vin_max-(1+VFBtol_min/100)*Vout)/((1+Lotol_min/100)*IF(ISBLANK(Lo_sel),(Lo_min+Lo_max)/2,Lo_sel)*0.000001)*(SysDuty_min/100)/((1+Fswtol_min/100)*IF(ISBLANK(Fsw_Sel),Fsw_Recom,Fsw_Sel)*1000000)</f>
        <v>0.55963321950428591</v>
      </c>
      <c r="C40" s="509"/>
      <c r="D40" s="497" t="s">
        <v>76</v>
      </c>
      <c r="E40" s="498" t="s">
        <v>79</v>
      </c>
      <c r="F40" s="503"/>
      <c r="G40" s="503"/>
      <c r="H40" s="503"/>
      <c r="I40" s="363"/>
      <c r="K40" s="186"/>
      <c r="L40" s="190"/>
    </row>
    <row r="41" spans="1:14" ht="18" x14ac:dyDescent="0.25">
      <c r="A41" s="358" t="s">
        <v>80</v>
      </c>
      <c r="B41" s="509">
        <f ca="1">Iout+ILpp_max/2</f>
        <v>1.2798166097521428</v>
      </c>
      <c r="C41" s="509"/>
      <c r="D41" s="497" t="s">
        <v>81</v>
      </c>
      <c r="E41" s="498" t="s">
        <v>82</v>
      </c>
      <c r="F41" s="503"/>
      <c r="G41" s="503"/>
      <c r="H41" s="503"/>
      <c r="I41" s="363"/>
      <c r="K41" s="186"/>
      <c r="L41" s="186"/>
    </row>
    <row r="42" spans="1:14" ht="18.75" thickBot="1" x14ac:dyDescent="0.3">
      <c r="A42" s="495" t="s">
        <v>83</v>
      </c>
      <c r="B42" s="510">
        <f ca="1">ILIMcurve_offset+ILIMcurve_slope*SysDuty_typ-Isat_req</f>
        <v>0.25024111332321253</v>
      </c>
      <c r="C42" s="510"/>
      <c r="D42" s="497" t="s">
        <v>84</v>
      </c>
      <c r="E42" s="488" t="s">
        <v>325</v>
      </c>
      <c r="F42" s="503"/>
      <c r="G42" s="503"/>
      <c r="H42" s="503"/>
      <c r="I42" s="363"/>
      <c r="K42" s="186"/>
      <c r="L42" s="186"/>
    </row>
    <row r="43" spans="1:14" ht="18.75" thickBot="1" x14ac:dyDescent="0.3">
      <c r="A43" s="511" t="s">
        <v>85</v>
      </c>
      <c r="B43" s="512">
        <f ca="1">ILIMcurve_offset+ILIMcurve_slope*SysDuty_max-Isat_req</f>
        <v>4.0959860836092599E-2</v>
      </c>
      <c r="C43" s="512"/>
      <c r="D43" s="373" t="s">
        <v>84</v>
      </c>
      <c r="E43" s="513" t="s">
        <v>326</v>
      </c>
      <c r="F43" s="514"/>
      <c r="G43" s="514"/>
      <c r="H43" s="514"/>
      <c r="I43" s="515"/>
      <c r="K43" s="516" t="s">
        <v>86</v>
      </c>
      <c r="L43" s="517"/>
      <c r="M43" s="518"/>
      <c r="N43" s="153"/>
    </row>
    <row r="44" spans="1:14" ht="15.75" customHeight="1" thickBot="1" x14ac:dyDescent="0.3">
      <c r="A44" s="480" t="s">
        <v>87</v>
      </c>
      <c r="B44" s="481"/>
      <c r="C44" s="481"/>
      <c r="D44" s="481"/>
      <c r="E44" s="481"/>
      <c r="F44" s="481"/>
      <c r="G44" s="481"/>
      <c r="H44" s="481"/>
      <c r="I44" s="482"/>
      <c r="K44" s="519" t="s">
        <v>88</v>
      </c>
      <c r="L44" s="520"/>
      <c r="M44" s="521"/>
    </row>
    <row r="45" spans="1:14" ht="15.75" customHeight="1" thickBot="1" x14ac:dyDescent="0.3">
      <c r="A45" s="522" t="s">
        <v>89</v>
      </c>
      <c r="B45" s="52">
        <v>50</v>
      </c>
      <c r="C45" s="523" t="s">
        <v>20</v>
      </c>
      <c r="D45" s="488" t="s">
        <v>90</v>
      </c>
      <c r="E45" s="524"/>
      <c r="F45" s="524"/>
      <c r="G45" s="524"/>
      <c r="H45" s="524"/>
      <c r="I45" s="525"/>
      <c r="K45" s="526" t="s">
        <v>91</v>
      </c>
      <c r="L45" s="527"/>
      <c r="M45" s="528"/>
    </row>
    <row r="46" spans="1:14" ht="15.75" thickBot="1" x14ac:dyDescent="0.3">
      <c r="A46" s="358" t="s">
        <v>92</v>
      </c>
      <c r="B46" s="484">
        <f>MAX(0.05*0.35*((IF(ISBLANK(Trans_perc),Perc_StepCurrent,Trans_perc))*Iout/100)/(Vout_typ*0.03*fc_sel)*1000, 0.05*Lo_sel*((IF(ISBLANK(Trans_perc),Perc_StepCurrent,Trans_perc))*Iout/100)^2/(Vout_typ^2*0.03))</f>
        <v>1.2772769893023055</v>
      </c>
      <c r="C46" s="529" t="s">
        <v>93</v>
      </c>
      <c r="D46" s="487" t="s">
        <v>94</v>
      </c>
      <c r="E46" s="360"/>
      <c r="F46" s="362"/>
      <c r="G46" s="362"/>
      <c r="H46" s="362"/>
      <c r="I46" s="363"/>
      <c r="K46" s="530"/>
      <c r="L46" s="527"/>
      <c r="M46" s="528"/>
    </row>
    <row r="47" spans="1:14" ht="16.5" thickBot="1" x14ac:dyDescent="0.3">
      <c r="A47" s="366" t="s">
        <v>95</v>
      </c>
      <c r="B47" s="8">
        <v>2</v>
      </c>
      <c r="C47" s="367" t="s">
        <v>93</v>
      </c>
      <c r="D47" s="487" t="s">
        <v>96</v>
      </c>
      <c r="E47" s="360"/>
      <c r="F47" s="362"/>
      <c r="G47" s="362"/>
      <c r="H47" s="362"/>
      <c r="I47" s="363"/>
      <c r="K47" s="495" t="s">
        <v>97</v>
      </c>
      <c r="L47" s="10"/>
      <c r="M47" s="531" t="s">
        <v>98</v>
      </c>
    </row>
    <row r="48" spans="1:14" ht="16.5" thickBot="1" x14ac:dyDescent="0.3">
      <c r="A48" s="358" t="s">
        <v>99</v>
      </c>
      <c r="B48" s="532">
        <f>IF(ISBLANK(ManualCout), IF(ISBLANK(Co_num_actual),Co_num_est,Co_num_actual)*(1-Trans_Co_tol/100)*(Coeff_V3*Vout^3+Coeff_V2*Vout^2+Coeff_V*Vout+Coeff_0V), L47*IF(ISBLANK(L50),1,L50))</f>
        <v>15.940799999999998</v>
      </c>
      <c r="C48" s="360" t="s">
        <v>100</v>
      </c>
      <c r="D48" s="487" t="s">
        <v>101</v>
      </c>
      <c r="E48" s="360"/>
      <c r="F48" s="362"/>
      <c r="G48" s="362"/>
      <c r="H48" s="362"/>
      <c r="I48" s="363"/>
      <c r="K48" s="495" t="s">
        <v>102</v>
      </c>
      <c r="L48" s="10"/>
      <c r="M48" s="531" t="s">
        <v>103</v>
      </c>
    </row>
    <row r="49" spans="1:13" ht="18.75" thickBot="1" x14ac:dyDescent="0.4">
      <c r="A49" s="495" t="s">
        <v>104</v>
      </c>
      <c r="B49" s="533">
        <f ca="1">IF(ISBLANK(ManualCout), 1000*(ILpp_typ*Trans_Co_ESR/1000/IF(ISBLANK(Co_num_actual),Co_num_est,Co_num_actual)+ILpp_typ/(8*(IF(ISBLANK(Fsw_Sel),Fsw_Recom,Fsw_Sel))*1000000*Co_tot/1000000)+(Vin_typ-Vout)/(IF(ISBLANK(Lo_sel),(Lo_min+Lo_max)/2,Lo_sel)/1000000)*Trans_Co_ESL/1000000000),
1000*(ILpp_typ*ManualCout_ESR/1000/IF(ISBLANK(ManualCout_numb),1,ManualCout_numb)+ILpp_typ/(8*(IF(ISBLANK(Fsw_Sel),Fsw_Recom,Fsw_Sel))*1000000*ManualCout*IF(ISBLANK(ManualCout_numb),1,ManualCout_numb)/1000000)+(Vin_typ-Vout)/(IF(ISBLANK(Lo_sel),(Lo_min+Lo_max)/2,Lo_sel)/1000000)*ManualCout_ESL/1000000000/IF(ISBLANK(ManualCout_numb),1,ManualCout_numb)) )</f>
        <v>8.7006129538508841</v>
      </c>
      <c r="C49" s="534" t="s">
        <v>105</v>
      </c>
      <c r="D49" s="487" t="s">
        <v>106</v>
      </c>
      <c r="E49" s="534"/>
      <c r="F49" s="503"/>
      <c r="G49" s="503"/>
      <c r="H49" s="503"/>
      <c r="I49" s="363"/>
      <c r="K49" s="495" t="s">
        <v>107</v>
      </c>
      <c r="L49" s="10"/>
      <c r="M49" s="531" t="s">
        <v>108</v>
      </c>
    </row>
    <row r="50" spans="1:13" ht="16.5" thickBot="1" x14ac:dyDescent="0.3">
      <c r="A50" s="495" t="s">
        <v>109</v>
      </c>
      <c r="B50" s="533">
        <f>(Trans_perc/100*Iout)*0.35/(2*Co_tot*fc_sel)*1000000</f>
        <v>121.97910044944072</v>
      </c>
      <c r="C50" s="535" t="s">
        <v>110</v>
      </c>
      <c r="D50" s="536" t="s">
        <v>111</v>
      </c>
      <c r="E50" s="534"/>
      <c r="F50" s="503"/>
      <c r="G50" s="503"/>
      <c r="H50" s="503"/>
      <c r="I50" s="363"/>
      <c r="K50" s="511" t="s">
        <v>112</v>
      </c>
      <c r="L50" s="11"/>
      <c r="M50" s="537" t="s">
        <v>93</v>
      </c>
    </row>
    <row r="51" spans="1:13" ht="15.75" thickBot="1" x14ac:dyDescent="0.3">
      <c r="A51" s="511" t="s">
        <v>113</v>
      </c>
      <c r="B51" s="538">
        <f>(Trans_perc/100*Iout)^2/(2*Co_tot*Vout_typ)*IF(ISBLANK(Lo_sel),(Lo_min+Lo_max)/2,Lo_sel)*1000</f>
        <v>33.996435545696293</v>
      </c>
      <c r="C51" s="539" t="s">
        <v>110</v>
      </c>
      <c r="D51" s="540" t="s">
        <v>114</v>
      </c>
      <c r="E51" s="360"/>
      <c r="F51" s="362"/>
      <c r="G51" s="362"/>
      <c r="H51" s="362"/>
      <c r="I51" s="363"/>
    </row>
    <row r="52" spans="1:13" ht="15.75" customHeight="1" x14ac:dyDescent="0.25">
      <c r="A52" s="480" t="s">
        <v>115</v>
      </c>
      <c r="B52" s="481"/>
      <c r="C52" s="481"/>
      <c r="D52" s="481"/>
      <c r="E52" s="481"/>
      <c r="F52" s="481"/>
      <c r="G52" s="481"/>
      <c r="H52" s="481"/>
      <c r="I52" s="482"/>
    </row>
    <row r="53" spans="1:13" x14ac:dyDescent="0.25">
      <c r="A53" s="366" t="s">
        <v>116</v>
      </c>
      <c r="B53" s="492">
        <f ca="1">IF(AND(SysDuty_min&lt;50, SysDuty_max&gt;50), 1000000*Iout*0.5*(1-0.5)/((1+Fswtol_min/100)*IF(ISBLANK(Fsw_Sel),Fsw_Recom,Fsw_Sel)*1000000*UVLO_mult*UVLOhys_min/1000), MAX(1000000*Iout*SysDuty_max/100*(1-SysDuty_max/100)/((1+Fswtol_min/100)*IF(ISBLANK(Fsw_Sel),Fsw_Recom,Fsw_Sel)*1000000*UVLO_mult*UVLOhys_min/1000), 1000000*Iout*SysDuty_typ/100*(1-SysDuty_typ/100)/((1+Fswtol_min/100)*IF(ISBLANK(Fsw_Sel),Fsw_Recom,Fsw_Sel)*1000000*UVLO_mult*UVLO_hys/1000), 1000000*Iout*SysDuty_min/100*(1-SysDuty_min/100)/((1+Fswtol_min/100)*IF(ISBLANK(Fsw_Sel),Fsw_Recom,Fsw_Sel)*1000000*UVLO_mult*UVLOhys_min/1000)))</f>
        <v>5.5555555555555545</v>
      </c>
      <c r="C53" s="370" t="s">
        <v>117</v>
      </c>
      <c r="D53" s="487" t="s">
        <v>118</v>
      </c>
      <c r="E53" s="360"/>
      <c r="F53" s="362"/>
      <c r="G53" s="362"/>
      <c r="H53" s="362"/>
      <c r="I53" s="363"/>
    </row>
    <row r="54" spans="1:13" ht="18.75" thickBot="1" x14ac:dyDescent="0.4">
      <c r="A54" s="494" t="s">
        <v>119</v>
      </c>
      <c r="B54" s="541">
        <f ca="1">Iout*SQRT(SysDuty_max/100*(1-SysDuty_max/100))</f>
        <v>0.20058913230780984</v>
      </c>
      <c r="C54" s="479" t="s">
        <v>120</v>
      </c>
      <c r="D54" s="542" t="s">
        <v>121</v>
      </c>
      <c r="E54" s="479"/>
      <c r="F54" s="375"/>
      <c r="G54" s="375"/>
      <c r="H54" s="375"/>
      <c r="I54" s="376"/>
    </row>
    <row r="55" spans="1:13" ht="15.75" customHeight="1" x14ac:dyDescent="0.25">
      <c r="A55" s="480" t="s">
        <v>122</v>
      </c>
      <c r="B55" s="481"/>
      <c r="C55" s="481"/>
      <c r="D55" s="481"/>
      <c r="E55" s="481"/>
      <c r="F55" s="481"/>
      <c r="G55" s="481"/>
      <c r="H55" s="481"/>
      <c r="I55" s="482"/>
    </row>
    <row r="56" spans="1:13" ht="15.75" thickBot="1" x14ac:dyDescent="0.3">
      <c r="A56" s="358" t="s">
        <v>123</v>
      </c>
      <c r="B56" s="359">
        <f>1000000000*SS_source/1000000*SS_target/1000/VFB_typ</f>
        <v>18.75</v>
      </c>
      <c r="C56" s="360" t="s">
        <v>124</v>
      </c>
      <c r="D56" s="487" t="s">
        <v>125</v>
      </c>
      <c r="E56" s="360"/>
      <c r="F56" s="362"/>
      <c r="G56" s="362"/>
      <c r="H56" s="362"/>
      <c r="I56" s="363"/>
    </row>
    <row r="57" spans="1:13" ht="15.75" thickBot="1" x14ac:dyDescent="0.3">
      <c r="A57" s="366" t="s">
        <v>126</v>
      </c>
      <c r="B57" s="12">
        <v>22</v>
      </c>
      <c r="C57" s="370" t="s">
        <v>124</v>
      </c>
      <c r="D57" s="487" t="s">
        <v>127</v>
      </c>
      <c r="E57" s="360"/>
      <c r="F57" s="362"/>
      <c r="G57" s="362"/>
      <c r="H57" s="362"/>
      <c r="I57" s="363"/>
    </row>
    <row r="58" spans="1:13" x14ac:dyDescent="0.25">
      <c r="A58" s="358" t="s">
        <v>128</v>
      </c>
      <c r="B58" s="359">
        <f>1000*IF(ISBLANK(CSS_sel),CSS_min,CSS_sel)/1000000000*VFB_typ/(SS_source/1000000)</f>
        <v>0.88</v>
      </c>
      <c r="C58" s="360" t="s">
        <v>26</v>
      </c>
      <c r="D58" s="487" t="s">
        <v>129</v>
      </c>
      <c r="E58" s="360"/>
      <c r="F58" s="362"/>
      <c r="G58" s="362"/>
      <c r="H58" s="362"/>
      <c r="I58" s="363"/>
    </row>
    <row r="59" spans="1:13" ht="15.75" thickBot="1" x14ac:dyDescent="0.3">
      <c r="A59" s="494" t="s">
        <v>130</v>
      </c>
      <c r="B59" s="541">
        <f>1000*IF(ISBLANK(CSS_sel),CSS_min,CSS_sel)/1000000000*400/1000/(SS_source/1000000)</f>
        <v>0.44</v>
      </c>
      <c r="C59" s="479" t="s">
        <v>26</v>
      </c>
      <c r="D59" s="542" t="s">
        <v>131</v>
      </c>
      <c r="E59" s="479"/>
      <c r="F59" s="375"/>
      <c r="G59" s="375"/>
      <c r="H59" s="375"/>
      <c r="I59" s="376"/>
    </row>
    <row r="60" spans="1:13" ht="15.75" customHeight="1" x14ac:dyDescent="0.25">
      <c r="A60" s="480" t="s">
        <v>132</v>
      </c>
      <c r="B60" s="481"/>
      <c r="C60" s="481"/>
      <c r="D60" s="481"/>
      <c r="E60" s="481"/>
      <c r="F60" s="481"/>
      <c r="G60" s="481"/>
      <c r="H60" s="481"/>
      <c r="I60" s="482"/>
    </row>
    <row r="61" spans="1:13" ht="18" customHeight="1" thickBot="1" x14ac:dyDescent="0.4">
      <c r="A61" s="358" t="s">
        <v>133</v>
      </c>
      <c r="B61" s="543">
        <f>1000*IF(ISBLANK(Fsw_Sel),Fsw_Recom,Fsw_Sel)/11</f>
        <v>36.363636363636367</v>
      </c>
      <c r="C61" s="543"/>
      <c r="D61" s="544" t="s">
        <v>134</v>
      </c>
      <c r="E61" s="498" t="s">
        <v>135</v>
      </c>
      <c r="F61" s="362"/>
      <c r="G61" s="362"/>
      <c r="H61" s="362"/>
      <c r="I61" s="363"/>
    </row>
    <row r="62" spans="1:13" ht="18" customHeight="1" thickBot="1" x14ac:dyDescent="0.3">
      <c r="A62" s="358" t="s">
        <v>136</v>
      </c>
      <c r="B62" s="196">
        <v>45</v>
      </c>
      <c r="C62" s="197"/>
      <c r="D62" s="544" t="s">
        <v>134</v>
      </c>
      <c r="E62" s="498" t="s">
        <v>137</v>
      </c>
      <c r="F62" s="362"/>
      <c r="G62" s="362"/>
      <c r="H62" s="362"/>
      <c r="I62" s="363"/>
    </row>
    <row r="63" spans="1:13" ht="18" customHeight="1" x14ac:dyDescent="0.35">
      <c r="A63" s="358" t="s">
        <v>138</v>
      </c>
      <c r="B63" s="545">
        <v>5</v>
      </c>
      <c r="C63" s="545"/>
      <c r="D63" s="546" t="s">
        <v>139</v>
      </c>
      <c r="E63" s="498" t="s">
        <v>140</v>
      </c>
      <c r="F63" s="362"/>
      <c r="G63" s="362"/>
      <c r="H63" s="362"/>
      <c r="I63" s="363"/>
    </row>
    <row r="64" spans="1:13" ht="18" customHeight="1" x14ac:dyDescent="0.35">
      <c r="A64" s="358" t="s">
        <v>141</v>
      </c>
      <c r="B64" s="547">
        <f>1/(6.28*RLoad_typ*Co_tot/1000000)/1000</f>
        <v>1.9978378599544429</v>
      </c>
      <c r="C64" s="547"/>
      <c r="D64" s="546" t="s">
        <v>134</v>
      </c>
      <c r="E64" s="498" t="s">
        <v>142</v>
      </c>
      <c r="F64" s="362"/>
      <c r="G64" s="362"/>
      <c r="H64" s="362"/>
      <c r="I64" s="363"/>
    </row>
    <row r="65" spans="1:9" ht="18" customHeight="1" x14ac:dyDescent="0.35">
      <c r="A65" s="358" t="s">
        <v>143</v>
      </c>
      <c r="B65" s="545">
        <f>IF(ISBLANK(ManualCout), 1/(6.28*Trans_Co_ESR/(IF(ISBLANK(Co_num_actual),Co_num_est,Co_num_actual))/1000*Co_tot/1000000)/1000, 1/(6.28*IF(ISBLANK(ManualCout_ESR),Trans_Co_ESR,ManualCout_ESR)/(IF(ISBLANK(ManualCout_numb),1,ManualCout_numb))/1000*Co_tot/1000000)/1000)</f>
        <v>3329.729766590739</v>
      </c>
      <c r="C65" s="545"/>
      <c r="D65" s="546" t="s">
        <v>134</v>
      </c>
      <c r="E65" s="498" t="s">
        <v>144</v>
      </c>
      <c r="F65" s="362"/>
      <c r="G65" s="362"/>
      <c r="H65" s="362"/>
      <c r="I65" s="363"/>
    </row>
    <row r="66" spans="1:9" ht="18" customHeight="1" thickBot="1" x14ac:dyDescent="0.3">
      <c r="A66" s="358" t="s">
        <v>145</v>
      </c>
      <c r="B66" s="545">
        <f>IF(ISBLANK(fc_sel),fc_max,fc_sel)*1000*(Vout/VFB_typ)*((6.28*Co_tot/1000000)/(gmPower*gmEA_typ/1000000))/1000</f>
        <v>18.770291999999998</v>
      </c>
      <c r="C66" s="545"/>
      <c r="D66" s="544" t="s">
        <v>39</v>
      </c>
      <c r="E66" s="498" t="s">
        <v>146</v>
      </c>
      <c r="F66" s="362"/>
      <c r="G66" s="362"/>
      <c r="H66" s="362"/>
      <c r="I66" s="363"/>
    </row>
    <row r="67" spans="1:9" ht="18" customHeight="1" thickBot="1" x14ac:dyDescent="0.3">
      <c r="A67" s="366" t="s">
        <v>147</v>
      </c>
      <c r="B67" s="194">
        <v>18.7</v>
      </c>
      <c r="C67" s="195"/>
      <c r="D67" s="548" t="s">
        <v>41</v>
      </c>
      <c r="E67" s="498" t="s">
        <v>148</v>
      </c>
      <c r="F67" s="362"/>
      <c r="G67" s="362"/>
      <c r="H67" s="362"/>
      <c r="I67" s="363"/>
    </row>
    <row r="68" spans="1:9" ht="18" customHeight="1" x14ac:dyDescent="0.25">
      <c r="A68" s="549" t="s">
        <v>149</v>
      </c>
      <c r="B68" s="550">
        <f>4*1000000000/(6.28*IF(ISBLANK(Rz_sel),Rz,Rz_sel)*1000*IF(ISBLANK(fc_sel),fc_max,fc_sel)*1000)</f>
        <v>0.75691345829974532</v>
      </c>
      <c r="C68" s="550">
        <f>1000000000/(6.28*IF(ISBLANK(Rz_sel),Rz,Rz_sel)*1000*1.5*f_p1*1000)</f>
        <v>2.8414973262032084</v>
      </c>
      <c r="D68" s="548" t="s">
        <v>124</v>
      </c>
      <c r="E68" s="498" t="s">
        <v>150</v>
      </c>
      <c r="F68" s="362"/>
      <c r="G68" s="362"/>
      <c r="H68" s="362"/>
      <c r="I68" s="363"/>
    </row>
    <row r="69" spans="1:9" ht="18" customHeight="1" thickBot="1" x14ac:dyDescent="0.3">
      <c r="A69" s="477" t="s">
        <v>151</v>
      </c>
      <c r="B69" s="551">
        <f>IF(f_z1&gt;10*IF(ISBLANK(fc_sel),fc_max,fc_sel), MAX(1000000000000/(6.28*IF(ISBLANK(Rz_sel),Rz,Rz_sel)*1000*7.5*IF(ISBLANK(fc_sel),fc_max,fc_sel)*1000),1000000000000/(6.28*IF(ISBLANK(Rz_sel),Rz,Rz_sel)*1000*IF(ISBLANK(Fsw_Sel),Fsw_Recom,Fsw_Sel)*1000000/2)),
1000000000000/(6.28*IF(ISBLANK(Rz_sel),Rz,Rz_sel)*1000*f_z1*1000))</f>
        <v>42.576382029360673</v>
      </c>
      <c r="C69" s="551"/>
      <c r="D69" s="552" t="s">
        <v>152</v>
      </c>
      <c r="E69" s="553" t="s">
        <v>153</v>
      </c>
      <c r="F69" s="375"/>
      <c r="G69" s="375"/>
      <c r="H69" s="375"/>
      <c r="I69" s="376"/>
    </row>
    <row r="70" spans="1:9" x14ac:dyDescent="0.25">
      <c r="A70" s="554"/>
      <c r="B70" s="554"/>
      <c r="C70" s="554"/>
      <c r="D70" s="554"/>
      <c r="E70" s="554"/>
      <c r="F70" s="554"/>
      <c r="G70" s="554"/>
      <c r="H70" s="554"/>
      <c r="I70" s="554"/>
    </row>
    <row r="71" spans="1:9" x14ac:dyDescent="0.25">
      <c r="A71" s="15"/>
      <c r="B71" s="15"/>
      <c r="C71" s="15"/>
      <c r="D71" s="15"/>
      <c r="E71" s="15"/>
      <c r="F71" s="15"/>
      <c r="G71" s="15"/>
      <c r="H71" s="15"/>
      <c r="I71" s="15"/>
    </row>
    <row r="72" spans="1:9" x14ac:dyDescent="0.25">
      <c r="A72" s="15"/>
      <c r="B72" s="15"/>
      <c r="C72" s="15"/>
      <c r="D72" s="15"/>
      <c r="E72" s="15"/>
      <c r="F72" s="15"/>
      <c r="G72" s="15"/>
      <c r="H72" s="15"/>
      <c r="I72" s="15"/>
    </row>
    <row r="73" spans="1:9" x14ac:dyDescent="0.25">
      <c r="A73" s="15"/>
      <c r="B73" s="15"/>
      <c r="C73" s="15"/>
      <c r="D73" s="15"/>
      <c r="E73" s="15"/>
      <c r="F73" s="15"/>
      <c r="G73" s="15"/>
      <c r="H73" s="15"/>
      <c r="I73" s="15"/>
    </row>
    <row r="74" spans="1:9" x14ac:dyDescent="0.25">
      <c r="A74" s="15"/>
      <c r="B74" s="15"/>
      <c r="C74" s="15"/>
      <c r="D74" s="15"/>
      <c r="E74" s="15"/>
      <c r="F74" s="15"/>
      <c r="G74" s="15"/>
      <c r="H74" s="15"/>
      <c r="I74" s="15"/>
    </row>
    <row r="75" spans="1:9" x14ac:dyDescent="0.25">
      <c r="A75" s="15"/>
      <c r="B75" s="15"/>
      <c r="C75" s="15"/>
      <c r="D75" s="15"/>
      <c r="E75" s="15"/>
      <c r="F75" s="15"/>
      <c r="G75" s="15"/>
      <c r="H75" s="15"/>
      <c r="I75" s="15"/>
    </row>
    <row r="76" spans="1:9" x14ac:dyDescent="0.25">
      <c r="A76" s="15"/>
      <c r="B76" s="15"/>
      <c r="C76" s="15"/>
      <c r="D76" s="15"/>
      <c r="E76" s="15"/>
      <c r="F76" s="15"/>
      <c r="G76" s="15"/>
      <c r="H76" s="15"/>
      <c r="I76" s="15"/>
    </row>
    <row r="77" spans="1:9" x14ac:dyDescent="0.25">
      <c r="A77" s="15"/>
      <c r="B77" s="15"/>
      <c r="C77" s="15"/>
      <c r="D77" s="15"/>
      <c r="E77" s="15"/>
      <c r="F77" s="15"/>
      <c r="G77" s="15"/>
      <c r="H77" s="15"/>
      <c r="I77" s="15"/>
    </row>
    <row r="78" spans="1:9" x14ac:dyDescent="0.25">
      <c r="A78" s="15"/>
      <c r="B78" s="15"/>
      <c r="C78" s="15"/>
      <c r="D78" s="15"/>
      <c r="E78" s="15"/>
      <c r="F78" s="15"/>
      <c r="G78" s="15"/>
      <c r="H78" s="15"/>
      <c r="I78" s="15"/>
    </row>
    <row r="79" spans="1:9" x14ac:dyDescent="0.25">
      <c r="A79" s="15"/>
      <c r="B79" s="15"/>
      <c r="C79" s="15"/>
      <c r="D79" s="15"/>
      <c r="E79" s="15"/>
      <c r="F79" s="15"/>
      <c r="G79" s="15"/>
      <c r="H79" s="15"/>
      <c r="I79" s="15"/>
    </row>
    <row r="89" spans="1:9" x14ac:dyDescent="0.25">
      <c r="C89" s="192"/>
      <c r="D89" s="192"/>
    </row>
    <row r="90" spans="1:9" x14ac:dyDescent="0.25">
      <c r="A90" s="193"/>
      <c r="B90" s="193"/>
      <c r="C90" s="193"/>
      <c r="D90" s="193"/>
      <c r="E90" s="193"/>
      <c r="F90" s="193"/>
      <c r="G90" s="193"/>
      <c r="H90" s="193"/>
      <c r="I90" s="193"/>
    </row>
  </sheetData>
  <sheetProtection algorithmName="SHA-512" hashValue="+u9LKxyppQffCnd2Z+cKIJWYEelJ8gXeObNKz/eUFzMc8sYqRJdd9D8395BgRSBL9dONgjaoCMPWErcqthj/KA==" saltValue="eSBKzik4Mmw5F2WYL/2/cw==" spinCount="100000" sheet="1" selectLockedCells="1"/>
  <mergeCells count="48">
    <mergeCell ref="A23:I23"/>
    <mergeCell ref="F8:I8"/>
    <mergeCell ref="A2:I2"/>
    <mergeCell ref="F5:I5"/>
    <mergeCell ref="F6:I6"/>
    <mergeCell ref="F7:I7"/>
    <mergeCell ref="B3:C3"/>
    <mergeCell ref="E4:I4"/>
    <mergeCell ref="A4:B4"/>
    <mergeCell ref="F14:I14"/>
    <mergeCell ref="F15:I15"/>
    <mergeCell ref="A16:I16"/>
    <mergeCell ref="D17:I17"/>
    <mergeCell ref="A18:I18"/>
    <mergeCell ref="F9:I9"/>
    <mergeCell ref="F10:I10"/>
    <mergeCell ref="F11:I11"/>
    <mergeCell ref="F12:I12"/>
    <mergeCell ref="F13:I13"/>
    <mergeCell ref="K43:M43"/>
    <mergeCell ref="A44:I44"/>
    <mergeCell ref="K44:M44"/>
    <mergeCell ref="A34:I34"/>
    <mergeCell ref="B36:C36"/>
    <mergeCell ref="B37:C37"/>
    <mergeCell ref="B38:C38"/>
    <mergeCell ref="B39:C39"/>
    <mergeCell ref="K45:M46"/>
    <mergeCell ref="A52:I52"/>
    <mergeCell ref="A55:I55"/>
    <mergeCell ref="A60:I60"/>
    <mergeCell ref="B61:C61"/>
    <mergeCell ref="B1:I1"/>
    <mergeCell ref="C89:D89"/>
    <mergeCell ref="A90:I90"/>
    <mergeCell ref="B63:C63"/>
    <mergeCell ref="B64:C64"/>
    <mergeCell ref="B65:C65"/>
    <mergeCell ref="B66:C66"/>
    <mergeCell ref="B67:C67"/>
    <mergeCell ref="B69:C69"/>
    <mergeCell ref="A70:I70"/>
    <mergeCell ref="B62:C62"/>
    <mergeCell ref="B40:C40"/>
    <mergeCell ref="B41:C41"/>
    <mergeCell ref="B42:C42"/>
    <mergeCell ref="B43:C43"/>
    <mergeCell ref="A26:I26"/>
  </mergeCells>
  <conditionalFormatting sqref="B43">
    <cfRule type="cellIs" dxfId="1" priority="4" operator="lessThan">
      <formula>0</formula>
    </cfRule>
  </conditionalFormatting>
  <conditionalFormatting sqref="B42">
    <cfRule type="cellIs" dxfId="0" priority="1" operator="lessThan">
      <formula>0</formula>
    </cfRule>
  </conditionalFormatting>
  <dataValidations count="2">
    <dataValidation type="list" allowBlank="1" showInputMessage="1" showErrorMessage="1" sqref="B3" xr:uid="{50F50869-6C60-47DA-814A-D8605C68B5BE}">
      <formula1>$J$1:$J$2</formula1>
    </dataValidation>
    <dataValidation type="list" allowBlank="1" showInputMessage="1" showErrorMessage="1" sqref="D4" xr:uid="{34105DB1-2018-4046-9E16-053F9E9F38D2}">
      <formula1>$J$3:$J$4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I84"/>
  <sheetViews>
    <sheetView zoomScale="85" zoomScaleNormal="85" workbookViewId="0">
      <selection sqref="A1:BO1"/>
    </sheetView>
  </sheetViews>
  <sheetFormatPr defaultColWidth="9.140625" defaultRowHeight="15" x14ac:dyDescent="0.25"/>
  <cols>
    <col min="1" max="1" width="6.7109375" style="153" customWidth="1"/>
    <col min="2" max="2" width="8" style="153" customWidth="1"/>
    <col min="3" max="4" width="6.7109375" style="153" customWidth="1"/>
    <col min="5" max="12" width="6.7109375" style="40" customWidth="1"/>
    <col min="13" max="13" width="8.28515625" style="40" bestFit="1" customWidth="1"/>
    <col min="14" max="15" width="6.7109375" style="40" customWidth="1"/>
    <col min="16" max="16" width="7.140625" style="40" bestFit="1" customWidth="1"/>
    <col min="17" max="17" width="6.85546875" style="40" bestFit="1" customWidth="1"/>
    <col min="18" max="18" width="7.140625" style="40" bestFit="1" customWidth="1"/>
    <col min="19" max="20" width="6.7109375" style="40" customWidth="1"/>
    <col min="21" max="22" width="7.140625" style="40" bestFit="1" customWidth="1"/>
    <col min="23" max="23" width="6.7109375" style="40" customWidth="1"/>
    <col min="24" max="34" width="6.7109375" style="41" customWidth="1"/>
    <col min="35" max="35" width="8.28515625" style="41" bestFit="1" customWidth="1"/>
    <col min="36" max="37" width="6.7109375" style="41" customWidth="1"/>
    <col min="38" max="41" width="8.42578125" style="41" customWidth="1"/>
    <col min="42" max="42" width="6.7109375" style="41" customWidth="1"/>
    <col min="43" max="44" width="7.140625" style="41" bestFit="1" customWidth="1"/>
    <col min="45" max="45" width="4.85546875" style="41" bestFit="1" customWidth="1"/>
    <col min="46" max="56" width="6.7109375" style="41" customWidth="1"/>
    <col min="57" max="57" width="8.140625" style="41" bestFit="1" customWidth="1"/>
    <col min="58" max="59" width="6.7109375" style="41" customWidth="1"/>
    <col min="60" max="60" width="7.140625" style="41" bestFit="1" customWidth="1"/>
    <col min="61" max="61" width="6.85546875" style="41" bestFit="1" customWidth="1"/>
    <col min="62" max="63" width="7.140625" style="41" bestFit="1" customWidth="1"/>
    <col min="64" max="64" width="6.7109375" style="41" customWidth="1"/>
    <col min="65" max="66" width="7.140625" style="41" bestFit="1" customWidth="1"/>
    <col min="67" max="67" width="6.7109375" style="41" customWidth="1"/>
    <col min="68" max="105" width="9.140625" style="41"/>
    <col min="106" max="165" width="9.140625" style="43"/>
    <col min="166" max="16384" width="9.140625" style="41"/>
  </cols>
  <sheetData>
    <row r="1" spans="1:165" ht="24" customHeight="1" thickBot="1" x14ac:dyDescent="0.3">
      <c r="A1" s="384" t="s">
        <v>281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385"/>
      <c r="AL1" s="385"/>
      <c r="AM1" s="385"/>
      <c r="AN1" s="385"/>
      <c r="AO1" s="385"/>
      <c r="AP1" s="385"/>
      <c r="AQ1" s="385"/>
      <c r="AR1" s="385"/>
      <c r="AS1" s="385"/>
      <c r="AT1" s="385"/>
      <c r="AU1" s="385"/>
      <c r="AV1" s="385"/>
      <c r="AW1" s="385"/>
      <c r="AX1" s="385"/>
      <c r="AY1" s="385"/>
      <c r="AZ1" s="385"/>
      <c r="BA1" s="385"/>
      <c r="BB1" s="385"/>
      <c r="BC1" s="385"/>
      <c r="BD1" s="385"/>
      <c r="BE1" s="385"/>
      <c r="BF1" s="385"/>
      <c r="BG1" s="385"/>
      <c r="BH1" s="385"/>
      <c r="BI1" s="385"/>
      <c r="BJ1" s="385"/>
      <c r="BK1" s="385"/>
      <c r="BL1" s="385"/>
      <c r="BM1" s="385"/>
      <c r="BN1" s="385"/>
      <c r="BO1" s="385"/>
    </row>
    <row r="2" spans="1:165" s="53" customFormat="1" ht="18" customHeight="1" x14ac:dyDescent="0.25">
      <c r="A2" s="386"/>
      <c r="B2" s="387" t="s">
        <v>265</v>
      </c>
      <c r="C2" s="388">
        <f>Design!B6</f>
        <v>6</v>
      </c>
      <c r="D2" s="389"/>
      <c r="E2" s="389"/>
      <c r="F2" s="389" t="s">
        <v>223</v>
      </c>
      <c r="G2" s="389" t="s">
        <v>223</v>
      </c>
      <c r="H2" s="389" t="s">
        <v>224</v>
      </c>
      <c r="I2" s="389"/>
      <c r="J2" s="389"/>
      <c r="K2" s="389"/>
      <c r="L2" s="389"/>
      <c r="M2" s="389"/>
      <c r="N2" s="389"/>
      <c r="O2" s="390" t="s">
        <v>223</v>
      </c>
      <c r="P2" s="390"/>
      <c r="Q2" s="390" t="s">
        <v>224</v>
      </c>
      <c r="R2" s="390"/>
      <c r="S2" s="389"/>
      <c r="T2" s="389"/>
      <c r="U2" s="389"/>
      <c r="V2" s="389"/>
      <c r="W2" s="389"/>
      <c r="X2" s="391" t="s">
        <v>265</v>
      </c>
      <c r="Y2" s="388">
        <f>Design!C6</f>
        <v>12</v>
      </c>
      <c r="Z2" s="389"/>
      <c r="AA2" s="389"/>
      <c r="AB2" s="389" t="s">
        <v>223</v>
      </c>
      <c r="AC2" s="389" t="s">
        <v>223</v>
      </c>
      <c r="AD2" s="389" t="s">
        <v>224</v>
      </c>
      <c r="AE2" s="389"/>
      <c r="AF2" s="389"/>
      <c r="AG2" s="389"/>
      <c r="AH2" s="389"/>
      <c r="AI2" s="389"/>
      <c r="AJ2" s="389"/>
      <c r="AK2" s="390" t="s">
        <v>223</v>
      </c>
      <c r="AL2" s="390"/>
      <c r="AM2" s="390" t="s">
        <v>224</v>
      </c>
      <c r="AN2" s="390"/>
      <c r="AO2" s="389"/>
      <c r="AP2" s="389"/>
      <c r="AQ2" s="389"/>
      <c r="AR2" s="389"/>
      <c r="AS2" s="389"/>
      <c r="AT2" s="387" t="s">
        <v>265</v>
      </c>
      <c r="AU2" s="388">
        <f>Design!D6</f>
        <v>16</v>
      </c>
      <c r="AV2" s="389"/>
      <c r="AW2" s="389"/>
      <c r="AX2" s="389" t="s">
        <v>223</v>
      </c>
      <c r="AY2" s="389" t="s">
        <v>223</v>
      </c>
      <c r="AZ2" s="389" t="s">
        <v>224</v>
      </c>
      <c r="BA2" s="389"/>
      <c r="BB2" s="389"/>
      <c r="BC2" s="389"/>
      <c r="BD2" s="389"/>
      <c r="BE2" s="389"/>
      <c r="BF2" s="389"/>
      <c r="BG2" s="390" t="s">
        <v>223</v>
      </c>
      <c r="BH2" s="390"/>
      <c r="BI2" s="390" t="s">
        <v>224</v>
      </c>
      <c r="BJ2" s="390"/>
      <c r="BK2" s="389"/>
      <c r="BL2" s="389"/>
      <c r="BM2" s="389"/>
      <c r="BN2" s="389"/>
      <c r="BO2" s="389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</row>
    <row r="3" spans="1:165" s="55" customFormat="1" thickBot="1" x14ac:dyDescent="0.3">
      <c r="A3" s="392" t="s">
        <v>266</v>
      </c>
      <c r="B3" s="19" t="s">
        <v>222</v>
      </c>
      <c r="C3" s="13" t="s">
        <v>267</v>
      </c>
      <c r="D3" s="13" t="s">
        <v>268</v>
      </c>
      <c r="E3" s="13" t="s">
        <v>225</v>
      </c>
      <c r="F3" s="13" t="s">
        <v>227</v>
      </c>
      <c r="G3" s="13" t="s">
        <v>226</v>
      </c>
      <c r="H3" s="13" t="s">
        <v>227</v>
      </c>
      <c r="I3" s="13" t="s">
        <v>228</v>
      </c>
      <c r="J3" s="13" t="s">
        <v>229</v>
      </c>
      <c r="K3" s="13" t="s">
        <v>269</v>
      </c>
      <c r="L3" s="13" t="s">
        <v>270</v>
      </c>
      <c r="M3" s="13" t="s">
        <v>271</v>
      </c>
      <c r="N3" s="13" t="s">
        <v>272</v>
      </c>
      <c r="O3" s="13" t="s">
        <v>273</v>
      </c>
      <c r="P3" s="13" t="s">
        <v>274</v>
      </c>
      <c r="Q3" s="13" t="s">
        <v>273</v>
      </c>
      <c r="R3" s="13" t="s">
        <v>275</v>
      </c>
      <c r="S3" s="13" t="s">
        <v>276</v>
      </c>
      <c r="T3" s="13" t="s">
        <v>277</v>
      </c>
      <c r="U3" s="13" t="s">
        <v>278</v>
      </c>
      <c r="V3" s="13" t="s">
        <v>279</v>
      </c>
      <c r="W3" s="13" t="s">
        <v>280</v>
      </c>
      <c r="X3" s="19" t="s">
        <v>222</v>
      </c>
      <c r="Y3" s="13" t="s">
        <v>267</v>
      </c>
      <c r="Z3" s="13" t="s">
        <v>268</v>
      </c>
      <c r="AA3" s="13" t="s">
        <v>225</v>
      </c>
      <c r="AB3" s="13" t="s">
        <v>227</v>
      </c>
      <c r="AC3" s="13" t="s">
        <v>226</v>
      </c>
      <c r="AD3" s="13" t="s">
        <v>227</v>
      </c>
      <c r="AE3" s="13" t="s">
        <v>228</v>
      </c>
      <c r="AF3" s="13" t="s">
        <v>229</v>
      </c>
      <c r="AG3" s="13" t="s">
        <v>269</v>
      </c>
      <c r="AH3" s="13" t="s">
        <v>270</v>
      </c>
      <c r="AI3" s="13" t="s">
        <v>271</v>
      </c>
      <c r="AJ3" s="13" t="s">
        <v>272</v>
      </c>
      <c r="AK3" s="13" t="s">
        <v>273</v>
      </c>
      <c r="AL3" s="13" t="s">
        <v>274</v>
      </c>
      <c r="AM3" s="13" t="s">
        <v>273</v>
      </c>
      <c r="AN3" s="13" t="s">
        <v>275</v>
      </c>
      <c r="AO3" s="13" t="s">
        <v>276</v>
      </c>
      <c r="AP3" s="13" t="s">
        <v>277</v>
      </c>
      <c r="AQ3" s="13" t="s">
        <v>278</v>
      </c>
      <c r="AR3" s="13" t="s">
        <v>279</v>
      </c>
      <c r="AS3" s="19" t="s">
        <v>280</v>
      </c>
      <c r="AT3" s="18" t="s">
        <v>222</v>
      </c>
      <c r="AU3" s="13" t="s">
        <v>267</v>
      </c>
      <c r="AV3" s="13" t="s">
        <v>268</v>
      </c>
      <c r="AW3" s="13" t="s">
        <v>225</v>
      </c>
      <c r="AX3" s="13" t="s">
        <v>227</v>
      </c>
      <c r="AY3" s="13" t="s">
        <v>226</v>
      </c>
      <c r="AZ3" s="13" t="s">
        <v>227</v>
      </c>
      <c r="BA3" s="13" t="s">
        <v>228</v>
      </c>
      <c r="BB3" s="13" t="s">
        <v>229</v>
      </c>
      <c r="BC3" s="13" t="s">
        <v>269</v>
      </c>
      <c r="BD3" s="13" t="s">
        <v>270</v>
      </c>
      <c r="BE3" s="13" t="s">
        <v>271</v>
      </c>
      <c r="BF3" s="13" t="s">
        <v>272</v>
      </c>
      <c r="BG3" s="13" t="s">
        <v>273</v>
      </c>
      <c r="BH3" s="13" t="s">
        <v>274</v>
      </c>
      <c r="BI3" s="13" t="s">
        <v>273</v>
      </c>
      <c r="BJ3" s="13" t="s">
        <v>275</v>
      </c>
      <c r="BK3" s="13" t="s">
        <v>276</v>
      </c>
      <c r="BL3" s="13" t="s">
        <v>277</v>
      </c>
      <c r="BM3" s="13" t="s">
        <v>278</v>
      </c>
      <c r="BN3" s="13" t="s">
        <v>279</v>
      </c>
      <c r="BO3" s="19" t="s">
        <v>280</v>
      </c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</row>
    <row r="4" spans="1:165" s="59" customFormat="1" ht="12.75" customHeight="1" x14ac:dyDescent="0.2">
      <c r="A4" s="27">
        <v>25</v>
      </c>
      <c r="B4" s="393">
        <v>0.1</v>
      </c>
      <c r="C4" s="120">
        <f ca="1">IF( 100*(Vout_typ+B4*(IF(ISBLANK(DCRLo_Sel),DCR_Lo,DCRLo_Sel)/1000*(1+TCR_DCRLo/100*(N4-25))+Q4/1000))/(C$2-B4*O4/1000) &gt; ChosenmaxDuty_max, ChosenmaxDuty_max, 100*(Vout_typ+B4*(IF(ISBLANK(DCRLo_Sel),DCR_Lo,DCRLo_Sel)/1000*(1+TCR_DCRLo/100*(N4-25))+Q4/1000))/(C$2-B4*O4/1000) )</f>
        <v>85.920390849496144</v>
      </c>
      <c r="D4" s="22">
        <f t="shared" ref="D4:D11" ca="1" si="0">IF( (C$2-B4*(IF(ISBLANK(DCRLo_Sel),DCR_Lo,DCRLo_Sel)/1000*(1+TCR_DCRLo/100*(N4-25))+Q4/1000)-(Vout_typ)) / (IF(ISBLANK(Lo_sel),Lo_Ridley,Lo_sel)/1000000) * C4/100 / (IF(ISBLANK(Fsw_Sel),Fsw_Recom,Fsw_Sel)*1000000) &lt; 0, 0, (C$2-B4*(IF(ISBLANK(DCRLo_Sel),DCR_Lo,DCRLo_Sel)/1000*(1+TCR_DCRLo/100*(N4-25))+Q4/1000)-(Vout_typ)) / (IF(ISBLANK(Lo_sel),Lo_Ridley,Lo_sel)/1000000) * C4/100 / (IF(ISBLANK(Fsw_Sel),Fsw_Recom,Fsw_Sel)*1000000) )</f>
        <v>8.756089597418637E-2</v>
      </c>
      <c r="E4" s="22">
        <f t="shared" ref="E4:E11" ca="1" si="1">(IQ/1000+IF(ISBLANK(Fsw_Sel),Fsw_Recom,Fsw_Sel)*1000000*(P4+R4)/1000000000)*IF(T4&lt;3.3,C$2,Vout)</f>
        <v>2.6883157683128437E-2</v>
      </c>
      <c r="F4" s="22">
        <f ca="1">C4/100*(B4^2+D4^2/12)*O4/1000</f>
        <v>5.5349530034853609E-3</v>
      </c>
      <c r="G4" s="22">
        <f>C$2*B4*(C$2/(SR_rise*1000000000)*IF(ISBLANK(Fsw_Sel),Fsw_Recom,Fsw_Sel)*1000000/2+C$2/(SR_fall*1000000000)*IF(ISBLANK(Fsw_Sel),Fsw_Recom,Fsw_Sel)*1000000/2)</f>
        <v>4.8000000000000017E-4</v>
      </c>
      <c r="H4" s="22">
        <f ca="1">(1-C4/100)*(B4^2+D4^2/12)*Q4/1000</f>
        <v>3.7791754177416689E-4</v>
      </c>
      <c r="I4" s="22">
        <f t="shared" ref="I4:I11" si="2">IF(Sync?="yes",2*B4*tnonOverlap/1000000000*VSD_LS*IF(ISBLANK(Fsw_Sel),Fsw_Recom,Fsw_Sel)*1000000,0)</f>
        <v>4.8000000000000001E-4</v>
      </c>
      <c r="J4" s="22">
        <f ca="1">SUM(E4:I4)</f>
        <v>3.3756028228387969E-2</v>
      </c>
      <c r="K4" s="22">
        <f t="shared" ref="K4" ca="1" si="3">B4^2*IF(ISBLANK(DCRLo_Sel),DCR_Lo,DCRLo_Sel)/1000*(1+(N4-25)*(TCR_DCRLo/100))</f>
        <v>3.515786681721571E-4</v>
      </c>
      <c r="L4" s="22">
        <f t="shared" ref="L4:L11" si="4">0.5*Csnub/1000000000000*C$2^2*Fsw_Sel*1000000</f>
        <v>0</v>
      </c>
      <c r="M4" s="22">
        <f ca="1">N4-$A4</f>
        <v>1.1477049597651927</v>
      </c>
      <c r="N4" s="21">
        <f ca="1">IF(Reset,150,J4*Rth_typ+$A4)</f>
        <v>26.147704959765193</v>
      </c>
      <c r="O4" s="21">
        <f t="shared" ref="O4:O10" ca="1" si="5">RdsHS_max+RdsHS_max*TCR_Rds/100*(N4-25)</f>
        <v>605.50898380687295</v>
      </c>
      <c r="P4" s="22">
        <f>1/(0.0072*RdsHS_typ-0.0047)</f>
        <v>0.27814090618307236</v>
      </c>
      <c r="Q4" s="21">
        <f t="shared" ref="Q4:Q11" ca="1" si="6">IF(Sync?="yes",RdsLS_max+RdsLS_max*TCR_Rds/100*(N4-25),0)</f>
        <v>252.29540991953039</v>
      </c>
      <c r="R4" s="22">
        <f t="shared" ref="R4:R11" si="7">IF(Sync?="yes",1/(0.0072*RdsLS_typ-0.0047),0)</f>
        <v>0.66343793538114504</v>
      </c>
      <c r="S4" s="22">
        <f t="shared" ref="S4:S11" ca="1" si="8">(1-toffmin_typ/1000000000*Fsw_Sel*1000000) * (C$2-B4*O4/1000) - (B4*DCRLo_Sel/1000)</f>
        <v>5.7340078321642558</v>
      </c>
      <c r="T4" s="22">
        <f t="shared" ref="T4:T11" ca="1" si="9">IF(S4&gt;(Vout_typ),(Vout_typ),S4)</f>
        <v>5.0744525547445258</v>
      </c>
      <c r="U4" s="22">
        <f t="shared" ref="U4:U11" ca="1" si="10">SUM(J4:L4)+V4</f>
        <v>0.54155286237101274</v>
      </c>
      <c r="V4" s="22">
        <f t="shared" ref="V4:V11" ca="1" si="11">T4*B4</f>
        <v>0.50744525547445263</v>
      </c>
      <c r="W4" s="21">
        <f ca="1">100*V4/U4</f>
        <v>93.70188779960813</v>
      </c>
      <c r="X4" s="394">
        <v>0.1</v>
      </c>
      <c r="Y4" s="23">
        <f t="shared" ref="Y4:Y11" ca="1" si="12">IF( 100*(Vout_typ+X4*(IF(ISBLANK(DCRLo_Sel),DCR_Lo,DCRLo_Sel)/1000*(1+TCR_DCRLo/100*(AJ4-25))+AM4/1000))/(Y$2-X4*AK4/1000) &gt; ChosenmaxDuty_max, ChosenmaxDuty_max, 100*(Vout_typ+X4*(IF(ISBLANK(DCRLo_Sel),DCR_Lo,DCRLo_Sel)/1000*(1+TCR_DCRLo/100*(AJ4-25))+AM4/1000))/(Y$2-X4*AK4/1000) )</f>
        <v>42.742721056043194</v>
      </c>
      <c r="Z4" s="159">
        <f t="shared" ref="Z4:Z11" ca="1" si="13">IF( (Y$2-X4*(IF(ISBLANK(DCRLo_Sel),DCR_Lo,DCRLo_Sel)/1000*(1+TCR_DCRLo/100*(AJ4-25))+AM4/1000)-(Vout_typ)) / (IF(ISBLANK(Lo_sel),Lo_Ridley,Lo_sel)/1000000) * Y4/100 / (IF(ISBLANK(Fsw_Sel),Fsw_Recom,Fsw_Sel)*1000000) &lt; 0, 0, (Y$2-X4*(IF(ISBLANK(DCRLo_Sel),DCR_Lo,DCRLo_Sel)/1000*(1+TCR_DCRLo/100*(AJ4-25))+AM4/1000)-(Vout_typ)) / (IF(ISBLANK(Lo_sel),Lo_Ridley,Lo_sel)/1000000) * Y4/100 / (IF(ISBLANK(Fsw_Sel),Fsw_Recom,Fsw_Sel)*1000000) )</f>
        <v>0.33498528659534582</v>
      </c>
      <c r="AA4" s="159">
        <f t="shared" ref="AA4:AA11" ca="1" si="14">(IQ/1000+IF(ISBLANK(Fsw_Sel),Fsw_Recom,Fsw_Sel)*1000000*(AL4+AN4)/1000000000)*IF(AP4&lt;3.3,Y$2,Vout)</f>
        <v>2.6883157683128437E-2</v>
      </c>
      <c r="AB4" s="159">
        <f ca="1">Y4/100*(X4^2+Z4^2/12)*AK4/1000</f>
        <v>5.0128254731121886E-3</v>
      </c>
      <c r="AC4" s="159">
        <f t="shared" ref="AC4:AC11" si="15">Y$2*X4*(Y$2/(SR_rise*1000000000)*IF(ISBLANK(Fsw_Sel),Fsw_Recom,Fsw_Sel)*1000000/2+Y$2/(SR_fall*1000000000)*IF(ISBLANK(Fsw_Sel),Fsw_Recom,Fsw_Sel)*1000000/2)</f>
        <v>1.9200000000000007E-3</v>
      </c>
      <c r="AD4" s="159">
        <f ca="1">(1-Y4/100)*(X4^2+Z4^2/12)*AM4/1000</f>
        <v>2.7979495623264754E-3</v>
      </c>
      <c r="AE4" s="159">
        <f t="shared" ref="AE4:AE11" si="16">IF(Sync?="yes",2*X4*tnonOverlap/1000000000*VSD_LS*IF(ISBLANK(Fsw_Sel),Fsw_Recom,Fsw_Sel)*1000000,0)</f>
        <v>4.8000000000000001E-4</v>
      </c>
      <c r="AF4" s="159">
        <f ca="1">SUM(AA4:AE4)</f>
        <v>3.7093932718567105E-2</v>
      </c>
      <c r="AG4" s="159">
        <f t="shared" ref="AG4:AG11" ca="1" si="17">X4^2*IF(ISBLANK(DCRLo_Sel),DCR_Lo,DCRLo_Sel)/1000*(1+(AJ4-25)*(TCR_DCRLo/100))</f>
        <v>3.5173477195144935E-4</v>
      </c>
      <c r="AH4" s="159">
        <f t="shared" ref="AH4:AH11" si="18">0.5*Csnub/1000000000000*Y$2^2*Fsw_Sel*1000000</f>
        <v>0</v>
      </c>
      <c r="AI4" s="159">
        <f ca="1">AJ4-$A4</f>
        <v>1.2611937124312824</v>
      </c>
      <c r="AJ4" s="23">
        <f ca="1">IF(Reset,150,AF4*Rth_typ+$A4)</f>
        <v>26.261193712431282</v>
      </c>
      <c r="AK4" s="24">
        <f t="shared" ref="AK4:AK11" ca="1" si="19">RdsHS_max+RdsHS_max*TCR_Rds/100*(AJ4-25)</f>
        <v>606.05372981967014</v>
      </c>
      <c r="AL4" s="159">
        <f t="shared" ref="AL4:AL11" si="20">1/(0.0072*RdsHS_typ-0.0047)</f>
        <v>0.27814090618307236</v>
      </c>
      <c r="AM4" s="23">
        <f t="shared" ref="AM4:AM11" ca="1" si="21">IF(Sync?="yes",RdsLS_max+RdsLS_max*TCR_Rds/100*(AJ4-25),0)</f>
        <v>252.52238742486256</v>
      </c>
      <c r="AN4" s="159">
        <f t="shared" ref="AN4:AN11" si="22">IF(Sync?="yes",1/(0.0072*RdsLS_typ-0.0047),0)</f>
        <v>0.66343793538114504</v>
      </c>
      <c r="AO4" s="159">
        <f t="shared" ref="AO4:AO11" ca="1" si="23">(1-toffmin_typ/1000000000*Fsw_Sel*1000000) * (Y$2-X4*AK4/1000) - (X4*DCRLo_Sel/1000)</f>
        <v>11.529955209699418</v>
      </c>
      <c r="AP4" s="25">
        <f t="shared" ref="AP4:AP11" ca="1" si="24">IF(AO4&gt;(Vout_typ),(Vout_typ),AO4)</f>
        <v>5.0744525547445258</v>
      </c>
      <c r="AQ4" s="159">
        <f ca="1">SUM(AF4:AH4)+AR4</f>
        <v>0.54489092296497121</v>
      </c>
      <c r="AR4" s="159">
        <f t="shared" ref="AR4:AR11" ca="1" si="25">AP4*X4</f>
        <v>0.50744525547445263</v>
      </c>
      <c r="AS4" s="23">
        <f ca="1">100*AR4/AQ4</f>
        <v>93.127859923457407</v>
      </c>
      <c r="AT4" s="395">
        <v>0.1</v>
      </c>
      <c r="AU4" s="26">
        <f t="shared" ref="AU4:AU11" ca="1" si="26">IF( 100*(Vout_typ+AT4*(IF(ISBLANK(DCRLo_Sel),DCR_Lo,DCRLo_Sel)/1000*(1+TCR_DCRLo/100*(BF4-25))+BI4/1000))/(AU$2-AT4*BG4/1000) &gt; ChosenmaxDuty_max, ChosenmaxDuty_max, 100*(Vout_typ+AT4*(IF(ISBLANK(DCRLo_Sel),DCR_Lo,DCRLo_Sel)/1000*(1+TCR_DCRLo/100*(BF4-25))+BI4/1000))/(AU$2-AT4*BG4/1000) )</f>
        <v>32.01657858942805</v>
      </c>
      <c r="AV4" s="169">
        <f t="shared" ref="AV4:AV11" ca="1" si="27">IF( (AU$2-AT4*(IF(ISBLANK(DCRLo_Sel),DCR_Lo,DCRLo_Sel)/1000*(1+TCR_DCRLo/100*(BF4-25))+BI4/1000)-(Vout_typ)) / (IF(ISBLANK(Lo_sel),Lo_Ridley,Lo_sel)/1000000) * AU4/100 / (IF(ISBLANK(Fsw_Sel),Fsw_Recom,Fsw_Sel)*1000000) &lt; 0, 0, (AU$2-AT4*(IF(ISBLANK(DCRLo_Sel),DCR_Lo,DCRLo_Sel)/1000*(1+TCR_DCRLo/100*(BF4-25))+BI4/1000)-(Vout_typ)) / (IF(ISBLANK(Lo_sel),Lo_Ridley,Lo_sel)/1000000) * AU4/100 / (IF(ISBLANK(Fsw_Sel),Fsw_Recom,Fsw_Sel)*1000000) )</f>
        <v>0.39645119092272363</v>
      </c>
      <c r="AW4" s="169">
        <f t="shared" ref="AW4:AW11" ca="1" si="28">(IQ/1000+IF(ISBLANK(Fsw_Sel),Fsw_Recom,Fsw_Sel)*1000000*(BH4+BJ4)/1000000000)*IF(BL4&lt;3.3,AU$2,Vout)</f>
        <v>2.6883157683128437E-2</v>
      </c>
      <c r="AX4" s="169">
        <f ca="1">AU4/100*(AT4^2+AV4^2/12)*BG4/1000</f>
        <v>4.4844185368637934E-3</v>
      </c>
      <c r="AY4" s="169">
        <f t="shared" ref="AY4:AY11" si="29">AU$2*AT4*(AU$2/(SR_rise*1000000000)*IF(ISBLANK(Fsw_Sel),Fsw_Recom,Fsw_Sel)*1000000/2+AU$2/(SR_fall*1000000000)*IF(ISBLANK(Fsw_Sel),Fsw_Recom,Fsw_Sel)*1000000/2)</f>
        <v>3.4133333333333338E-3</v>
      </c>
      <c r="AZ4" s="169">
        <f ca="1">(1-AU4/100)*(AT4^2+AV4^2/12)*BI4/1000</f>
        <v>3.9675553599187938E-3</v>
      </c>
      <c r="BA4" s="169">
        <f t="shared" ref="BA4:BA11" si="30">IF(Sync?="yes",2*AT4*tnonOverlap/1000000000*VSD_LS*IF(ISBLANK(Fsw_Sel),Fsw_Recom,Fsw_Sel)*1000000,0)</f>
        <v>4.8000000000000001E-4</v>
      </c>
      <c r="BB4" s="169">
        <f ca="1">SUM(AW4:BA4)</f>
        <v>3.9228464913244353E-2</v>
      </c>
      <c r="BC4" s="169">
        <f t="shared" ref="BC4:BC11" ca="1" si="31">AT4^2*IF(ISBLANK(DCRLo_Sel),DCR_Lo,DCRLo_Sel)/1000*(1+(BF4-25)*(TCR_DCRLo/100))</f>
        <v>3.5183459761859782E-4</v>
      </c>
      <c r="BD4" s="169">
        <f t="shared" ref="BD4:BD11" si="32">0.5*Csnub/1000000000000*AU$2^2*Fsw_Sel*1000000</f>
        <v>0</v>
      </c>
      <c r="BE4" s="169">
        <f ca="1">BF4-$A4</f>
        <v>1.3337678070503074</v>
      </c>
      <c r="BF4" s="26">
        <f ca="1">IF(Reset,150,BB4*Rth_typ+$A4)</f>
        <v>26.333767807050307</v>
      </c>
      <c r="BG4" s="396">
        <f t="shared" ref="BG4:BG11" ca="1" si="33">RdsHS_max+RdsHS_max*TCR_Rds/100*(BF4-25)</f>
        <v>606.40208547384145</v>
      </c>
      <c r="BH4" s="169">
        <f t="shared" ref="BH4:BH11" si="34">1/(0.0072*RdsHS_typ-0.0047)</f>
        <v>0.27814090618307236</v>
      </c>
      <c r="BI4" s="26">
        <f t="shared" ref="BI4:BI11" ca="1" si="35">IF(Sync?="yes",RdsLS_max+RdsLS_max*TCR_Rds/100*(BF4-25),0)</f>
        <v>252.66753561410061</v>
      </c>
      <c r="BJ4" s="169">
        <f t="shared" ref="BJ4:BJ11" si="36">IF(Sync?="yes",1/(0.0072*RdsLS_typ-0.0047),0)</f>
        <v>0.66343793538114504</v>
      </c>
      <c r="BK4" s="169">
        <f t="shared" ref="BK4:BK11" ca="1" si="37">(1-toffmin_typ/1000000000*Fsw_Sel*1000000) * (AU$2-AT4*BG4/1000) - (AT4*DCRLo_Sel/1000)</f>
        <v>15.393921558543225</v>
      </c>
      <c r="BL4" s="397">
        <f t="shared" ref="BL4:BL11" ca="1" si="38">IF(BK4&gt;(Vout_typ),(Vout_typ),BK4)</f>
        <v>5.0744525547445258</v>
      </c>
      <c r="BM4" s="169">
        <f ca="1">SUM(BB4:BD4)+BN4</f>
        <v>0.54702555498531558</v>
      </c>
      <c r="BN4" s="169">
        <f t="shared" ref="BN4:BN11" ca="1" si="39">BL4*AT4</f>
        <v>0.50744525547445263</v>
      </c>
      <c r="BO4" s="26">
        <f ca="1">100*BN4/BM4</f>
        <v>92.764451468464685</v>
      </c>
      <c r="BP4" s="57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</row>
    <row r="5" spans="1:165" s="59" customFormat="1" ht="12.75" x14ac:dyDescent="0.2">
      <c r="A5" s="27">
        <v>25</v>
      </c>
      <c r="B5" s="393">
        <f t="shared" ref="B5:B10" si="40">($B$11-$B$4)/7+B4</f>
        <v>0.22857142857142859</v>
      </c>
      <c r="C5" s="28">
        <f t="shared" ref="C5:C11" ca="1" si="41">IF( 100*(Vout_typ+B5*(IF(ISBLANK(DCRLo_Sel),DCR_Lo,DCRLo_Sel)/1000*(1+TCR_DCRLo/100*(N5-25))+Q5/1000))/(C$2-B5*O5/1000) &gt; ChosenmaxDuty_max, ChosenmaxDuty_max, 100*(Vout_typ+B5*(IF(ISBLANK(DCRLo_Sel),DCR_Lo,DCRLo_Sel)/1000*(1+TCR_DCRLo/100*(N5-25))+Q5/1000))/(C$2-B5*O5/1000) )</f>
        <v>87.713300494302615</v>
      </c>
      <c r="D5" s="29">
        <f t="shared" ca="1" si="0"/>
        <v>8.5662468429694633E-2</v>
      </c>
      <c r="E5" s="29">
        <f t="shared" ca="1" si="1"/>
        <v>2.6883157683128437E-2</v>
      </c>
      <c r="F5" s="29">
        <f t="shared" ref="F5:F11" ca="1" si="42">C5/100*(B5^2+D5^2/12)*O5/1000</f>
        <v>2.8263598014772413E-2</v>
      </c>
      <c r="G5" s="29">
        <f t="shared" ref="G5:G11" si="43">C$2*B5*(C$2/(SR_rise*1000000000)*IF(ISBLANK(Fsw_Sel),Fsw_Recom,Fsw_Sel)*1000000/2+C$2/(SR_fall*1000000000)*IF(ISBLANK(Fsw_Sel),Fsw_Recom,Fsw_Sel)*1000000/2)</f>
        <v>1.0971428571428573E-3</v>
      </c>
      <c r="H5" s="29">
        <f t="shared" ref="H5:H11" ca="1" si="44">(1-C5/100)*(B5^2+D5^2/12)*Q5/1000</f>
        <v>1.6496278871065205E-3</v>
      </c>
      <c r="I5" s="29">
        <f t="shared" si="2"/>
        <v>1.0971428571428573E-3</v>
      </c>
      <c r="J5" s="29">
        <f t="shared" ref="J5:J11" ca="1" si="45">SUM(E5:I5)</f>
        <v>5.8990669299293093E-2</v>
      </c>
      <c r="K5" s="29">
        <f t="shared" ref="K5:K11" ca="1" si="46">B5^2*IF(ISBLANK(DCRLo_Sel),DCR_Lo,DCRLo_Sel)/1000*(1+(N5-25)*(TCR_DCRLo/100))</f>
        <v>1.8429848379095254E-3</v>
      </c>
      <c r="L5" s="29">
        <f t="shared" si="4"/>
        <v>0</v>
      </c>
      <c r="M5" s="29">
        <f t="shared" ref="M5:M11" ca="1" si="47">N5-$A5</f>
        <v>2.0056827561759647</v>
      </c>
      <c r="N5" s="28">
        <f ca="1">IF(Reset,150,J5*Rth_typ+$A5)</f>
        <v>27.005682756175965</v>
      </c>
      <c r="O5" s="30">
        <f t="shared" ca="1" si="5"/>
        <v>609.62727722964462</v>
      </c>
      <c r="P5" s="29">
        <f t="shared" ref="P5:P11" si="48">1/(0.0072*RdsHS_typ-0.0047)</f>
        <v>0.27814090618307236</v>
      </c>
      <c r="Q5" s="28">
        <f t="shared" ca="1" si="6"/>
        <v>254.01136551235192</v>
      </c>
      <c r="R5" s="29">
        <f t="shared" si="7"/>
        <v>0.66343793538114504</v>
      </c>
      <c r="S5" s="29">
        <f t="shared" ca="1" si="8"/>
        <v>5.6533942971876945</v>
      </c>
      <c r="T5" s="29">
        <f t="shared" ca="1" si="9"/>
        <v>5.0744525547445258</v>
      </c>
      <c r="U5" s="29">
        <f t="shared" ca="1" si="10"/>
        <v>1.2207085237930944</v>
      </c>
      <c r="V5" s="29">
        <f t="shared" ca="1" si="11"/>
        <v>1.1598748696558918</v>
      </c>
      <c r="W5" s="28">
        <f ca="1">100*V5/U5</f>
        <v>95.016529093433803</v>
      </c>
      <c r="X5" s="398">
        <f t="shared" ref="X5:X10" si="49">($X$11-$X$4)/7+X4</f>
        <v>0.22857142857142859</v>
      </c>
      <c r="Y5" s="32">
        <f t="shared" ca="1" si="12"/>
        <v>43.341011895873407</v>
      </c>
      <c r="Z5" s="160">
        <f t="shared" ca="1" si="13"/>
        <v>0.3378357183518485</v>
      </c>
      <c r="AA5" s="160">
        <f t="shared" ca="1" si="14"/>
        <v>2.6883157683128437E-2</v>
      </c>
      <c r="AB5" s="160">
        <f t="shared" ref="AB5:AB11" ca="1" si="50">Y5/100*(X5^2+Z5^2/12)*AK5/1000</f>
        <v>1.6310849454930318E-2</v>
      </c>
      <c r="AC5" s="160">
        <f t="shared" si="15"/>
        <v>4.3885714285714292E-3</v>
      </c>
      <c r="AD5" s="160">
        <f t="shared" ref="AD5:AD11" ca="1" si="51">(1-Y5/100)*(X5^2+Z5^2/12)*AM5/1000</f>
        <v>8.8845432306258586E-3</v>
      </c>
      <c r="AE5" s="160">
        <f t="shared" si="16"/>
        <v>1.0971428571428573E-3</v>
      </c>
      <c r="AF5" s="160">
        <f t="shared" ref="AF5:AF11" ca="1" si="52">SUM(AA5:AE5)</f>
        <v>5.75642646543989E-2</v>
      </c>
      <c r="AG5" s="160">
        <f t="shared" ca="1" si="17"/>
        <v>1.8426363191645643E-3</v>
      </c>
      <c r="AH5" s="160">
        <f t="shared" si="18"/>
        <v>0</v>
      </c>
      <c r="AI5" s="160">
        <f t="shared" ref="AI5:AI11" ca="1" si="53">AJ5-$A5</f>
        <v>1.9571849982495628</v>
      </c>
      <c r="AJ5" s="32">
        <f ca="1">IF(Reset,150,AF5*Rth_typ+$A5)</f>
        <v>26.957184998249563</v>
      </c>
      <c r="AK5" s="33">
        <f t="shared" ca="1" si="19"/>
        <v>609.39448799159788</v>
      </c>
      <c r="AL5" s="160">
        <f t="shared" si="20"/>
        <v>0.27814090618307236</v>
      </c>
      <c r="AM5" s="32">
        <f t="shared" ca="1" si="21"/>
        <v>253.91436999649912</v>
      </c>
      <c r="AN5" s="160">
        <f t="shared" si="22"/>
        <v>0.66343793538114504</v>
      </c>
      <c r="AO5" s="160">
        <f t="shared" ca="1" si="23"/>
        <v>11.449445697051456</v>
      </c>
      <c r="AP5" s="47">
        <f t="shared" ca="1" si="24"/>
        <v>5.0744525547445258</v>
      </c>
      <c r="AQ5" s="160">
        <f ca="1">SUM(AF5:AH5)+AR5</f>
        <v>1.2192817706294552</v>
      </c>
      <c r="AR5" s="160">
        <f t="shared" ca="1" si="25"/>
        <v>1.1598748696558918</v>
      </c>
      <c r="AS5" s="32">
        <f ca="1">100*AR5/AQ5</f>
        <v>95.127713510971745</v>
      </c>
      <c r="AT5" s="399">
        <f>($AT$11-$AT$4)/7+AT4</f>
        <v>0.22857142857142859</v>
      </c>
      <c r="AU5" s="172">
        <f t="shared" ca="1" si="26"/>
        <v>32.411044243326991</v>
      </c>
      <c r="AV5" s="173">
        <f t="shared" ca="1" si="27"/>
        <v>0.39995993993156298</v>
      </c>
      <c r="AW5" s="173">
        <f t="shared" ca="1" si="28"/>
        <v>2.6883157683128437E-2</v>
      </c>
      <c r="AX5" s="173">
        <f t="shared" ref="AX5:AX11" ca="1" si="54">AU5/100*(AT5^2+AV5^2/12)*BG5/1000</f>
        <v>1.2960364306843043E-2</v>
      </c>
      <c r="AY5" s="173">
        <f t="shared" si="29"/>
        <v>7.8019047619047634E-3</v>
      </c>
      <c r="AZ5" s="173">
        <f t="shared" ref="AZ5:AZ11" ca="1" si="55">(1-AU5/100)*(AT5^2+AV5^2/12)*BI5/1000</f>
        <v>1.126130395487451E-2</v>
      </c>
      <c r="BA5" s="173">
        <f t="shared" si="30"/>
        <v>1.0971428571428573E-3</v>
      </c>
      <c r="BB5" s="173">
        <f t="shared" ref="BB5:BB11" ca="1" si="56">SUM(AW5:BA5)</f>
        <v>6.0003873563893619E-2</v>
      </c>
      <c r="BC5" s="173">
        <f t="shared" ca="1" si="31"/>
        <v>1.8432323978708257E-3</v>
      </c>
      <c r="BD5" s="173">
        <f t="shared" si="32"/>
        <v>0</v>
      </c>
      <c r="BE5" s="173">
        <f t="shared" ref="BE5:BE11" ca="1" si="57">BF5-$A5</f>
        <v>2.0401317011723847</v>
      </c>
      <c r="BF5" s="34">
        <f ca="1">IF(Reset,150,BB5*Rth_typ+$A5)</f>
        <v>27.040131701172385</v>
      </c>
      <c r="BG5" s="400">
        <f t="shared" ca="1" si="33"/>
        <v>609.79263216562742</v>
      </c>
      <c r="BH5" s="173">
        <f t="shared" si="34"/>
        <v>0.27814090618307236</v>
      </c>
      <c r="BI5" s="34">
        <f t="shared" ca="1" si="35"/>
        <v>254.08026340234477</v>
      </c>
      <c r="BJ5" s="173">
        <f t="shared" si="36"/>
        <v>0.66343793538114504</v>
      </c>
      <c r="BK5" s="173">
        <f t="shared" ca="1" si="37"/>
        <v>15.31335778681783</v>
      </c>
      <c r="BL5" s="401">
        <f t="shared" ca="1" si="38"/>
        <v>5.0744525547445258</v>
      </c>
      <c r="BM5" s="173">
        <f ca="1">SUM(BB5:BD5)+BN5</f>
        <v>1.2217219756176563</v>
      </c>
      <c r="BN5" s="173">
        <f t="shared" ca="1" si="39"/>
        <v>1.1598748696558918</v>
      </c>
      <c r="BO5" s="34">
        <f ca="1">100*BN5/BM5</f>
        <v>94.937710281384042</v>
      </c>
      <c r="BP5" s="57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</row>
    <row r="6" spans="1:165" s="59" customFormat="1" ht="12.75" x14ac:dyDescent="0.2">
      <c r="A6" s="27">
        <v>25</v>
      </c>
      <c r="B6" s="393">
        <f t="shared" si="40"/>
        <v>0.35714285714285721</v>
      </c>
      <c r="C6" s="28">
        <f t="shared" ca="1" si="41"/>
        <v>89.607176141121016</v>
      </c>
      <c r="D6" s="29">
        <f t="shared" ca="1" si="0"/>
        <v>8.3604219884465203E-2</v>
      </c>
      <c r="E6" s="29">
        <f t="shared" ca="1" si="1"/>
        <v>2.6883157683128437E-2</v>
      </c>
      <c r="F6" s="29">
        <f t="shared" ca="1" si="42"/>
        <v>7.0849814965484897E-2</v>
      </c>
      <c r="G6" s="29">
        <f t="shared" si="43"/>
        <v>1.7142857142857148E-3</v>
      </c>
      <c r="H6" s="29">
        <f t="shared" ca="1" si="44"/>
        <v>3.4238777846821952E-3</v>
      </c>
      <c r="I6" s="29">
        <f t="shared" si="2"/>
        <v>1.7142857142857144E-3</v>
      </c>
      <c r="J6" s="29">
        <f t="shared" ca="1" si="45"/>
        <v>0.10458542186186695</v>
      </c>
      <c r="K6" s="29">
        <f t="shared" ca="1" si="46"/>
        <v>4.5266727860231388E-3</v>
      </c>
      <c r="L6" s="29">
        <f t="shared" si="4"/>
        <v>0</v>
      </c>
      <c r="M6" s="29">
        <f t="shared" ca="1" si="47"/>
        <v>3.5559043433034745</v>
      </c>
      <c r="N6" s="28">
        <f ca="1">IF(Reset,150,J6*Rth_typ+$A6)</f>
        <v>28.555904343303474</v>
      </c>
      <c r="O6" s="30">
        <f t="shared" ca="1" si="5"/>
        <v>617.06834084785669</v>
      </c>
      <c r="P6" s="29">
        <f t="shared" si="48"/>
        <v>0.27814090618307236</v>
      </c>
      <c r="Q6" s="28">
        <f t="shared" ca="1" si="6"/>
        <v>257.11180868660693</v>
      </c>
      <c r="R6" s="29">
        <f t="shared" si="7"/>
        <v>0.66343793538114504</v>
      </c>
      <c r="S6" s="29">
        <f t="shared" ca="1" si="8"/>
        <v>5.570611422407489</v>
      </c>
      <c r="T6" s="29">
        <f t="shared" ca="1" si="9"/>
        <v>5.0744525547445258</v>
      </c>
      <c r="U6" s="29">
        <f t="shared" ca="1" si="10"/>
        <v>1.9214165784852211</v>
      </c>
      <c r="V6" s="29">
        <f t="shared" ca="1" si="11"/>
        <v>1.812304483837331</v>
      </c>
      <c r="W6" s="28">
        <f t="shared" ref="W6:W11" ca="1" si="58">100*V6/U6</f>
        <v>94.321268179443393</v>
      </c>
      <c r="X6" s="398">
        <f t="shared" si="49"/>
        <v>0.35714285714285721</v>
      </c>
      <c r="Y6" s="32">
        <f t="shared" ca="1" si="12"/>
        <v>43.959976250049813</v>
      </c>
      <c r="Z6" s="160">
        <f t="shared" ca="1" si="13"/>
        <v>0.34075809757343922</v>
      </c>
      <c r="AA6" s="160">
        <f t="shared" ca="1" si="14"/>
        <v>2.6883157683128437E-2</v>
      </c>
      <c r="AB6" s="160">
        <f t="shared" ca="1" si="50"/>
        <v>3.7103433966031586E-2</v>
      </c>
      <c r="AC6" s="160">
        <f t="shared" si="15"/>
        <v>6.8571428571428594E-3</v>
      </c>
      <c r="AD6" s="160">
        <f t="shared" ca="1" si="51"/>
        <v>1.9708053192464686E-2</v>
      </c>
      <c r="AE6" s="160">
        <f t="shared" si="16"/>
        <v>1.7142857142857144E-3</v>
      </c>
      <c r="AF6" s="160">
        <f t="shared" ca="1" si="52"/>
        <v>9.2266073413053276E-2</v>
      </c>
      <c r="AG6" s="160">
        <f t="shared" ca="1" si="17"/>
        <v>4.5193240746850558E-3</v>
      </c>
      <c r="AH6" s="160">
        <f t="shared" si="18"/>
        <v>0</v>
      </c>
      <c r="AI6" s="160">
        <f t="shared" ca="1" si="53"/>
        <v>3.137046496043812</v>
      </c>
      <c r="AJ6" s="32">
        <f ca="1">IF(Reset,150,AF6*Rth_typ+$A6)</f>
        <v>28.137046496043812</v>
      </c>
      <c r="AK6" s="33">
        <f t="shared" ca="1" si="19"/>
        <v>615.05782318101035</v>
      </c>
      <c r="AL6" s="160">
        <f t="shared" si="20"/>
        <v>0.27814090618307236</v>
      </c>
      <c r="AM6" s="32">
        <f t="shared" ca="1" si="21"/>
        <v>256.27409299208762</v>
      </c>
      <c r="AN6" s="160">
        <f t="shared" si="22"/>
        <v>0.66343793538114504</v>
      </c>
      <c r="AO6" s="160">
        <f t="shared" ca="1" si="23"/>
        <v>11.367305051002552</v>
      </c>
      <c r="AP6" s="47">
        <f t="shared" ca="1" si="24"/>
        <v>5.0744525547445258</v>
      </c>
      <c r="AQ6" s="160">
        <f t="shared" ref="AQ6:AQ11" ca="1" si="59">SUM(AF6:AH6)+AR6</f>
        <v>1.9090898813250694</v>
      </c>
      <c r="AR6" s="160">
        <f t="shared" ca="1" si="25"/>
        <v>1.812304483837331</v>
      </c>
      <c r="AS6" s="32">
        <f t="shared" ref="AS6:AS11" ca="1" si="60">100*AR6/AQ6</f>
        <v>94.93028597372475</v>
      </c>
      <c r="AT6" s="399">
        <f t="shared" ref="AT6:AT10" si="61">($AT$11-$AT$4)/7+AT5</f>
        <v>0.35714285714285721</v>
      </c>
      <c r="AU6" s="172">
        <f t="shared" ca="1" si="26"/>
        <v>32.817378479886884</v>
      </c>
      <c r="AV6" s="173">
        <f t="shared" ca="1" si="27"/>
        <v>0.40355427936353983</v>
      </c>
      <c r="AW6" s="173">
        <f t="shared" ca="1" si="28"/>
        <v>2.6883157683128437E-2</v>
      </c>
      <c r="AX6" s="173">
        <f t="shared" ca="1" si="54"/>
        <v>2.8494959443640146E-2</v>
      </c>
      <c r="AY6" s="173">
        <f t="shared" si="29"/>
        <v>1.2190476190476193E-2</v>
      </c>
      <c r="AZ6" s="173">
        <f t="shared" ca="1" si="55"/>
        <v>2.4305796758292836E-2</v>
      </c>
      <c r="BA6" s="173">
        <f t="shared" si="30"/>
        <v>1.7142857142857144E-3</v>
      </c>
      <c r="BB6" s="173">
        <f t="shared" ca="1" si="56"/>
        <v>9.3588675789823328E-2</v>
      </c>
      <c r="BC6" s="173">
        <f t="shared" ca="1" si="31"/>
        <v>4.5201130306206988E-3</v>
      </c>
      <c r="BD6" s="173">
        <f t="shared" si="32"/>
        <v>0</v>
      </c>
      <c r="BE6" s="173">
        <f t="shared" ca="1" si="57"/>
        <v>3.182014976853992</v>
      </c>
      <c r="BF6" s="34">
        <f ca="1">IF(Reset,150,BB6*Rth_typ+$A6)</f>
        <v>28.182014976853992</v>
      </c>
      <c r="BG6" s="400">
        <f t="shared" ca="1" si="33"/>
        <v>615.27367188889912</v>
      </c>
      <c r="BH6" s="173">
        <f t="shared" si="34"/>
        <v>0.27814090618307236</v>
      </c>
      <c r="BI6" s="34">
        <f t="shared" ca="1" si="35"/>
        <v>256.36402995370798</v>
      </c>
      <c r="BJ6" s="173">
        <f t="shared" si="36"/>
        <v>0.66343793538114504</v>
      </c>
      <c r="BK6" s="173">
        <f t="shared" ca="1" si="37"/>
        <v>15.231230583198329</v>
      </c>
      <c r="BL6" s="401">
        <f t="shared" ca="1" si="38"/>
        <v>5.0744525547445258</v>
      </c>
      <c r="BM6" s="173">
        <f t="shared" ref="BM6:BM11" ca="1" si="62">SUM(BB6:BD6)+BN6</f>
        <v>1.9104132726577749</v>
      </c>
      <c r="BN6" s="173">
        <f t="shared" ca="1" si="39"/>
        <v>1.812304483837331</v>
      </c>
      <c r="BO6" s="34">
        <f t="shared" ref="BO6:BO11" ca="1" si="63">100*BN6/BM6</f>
        <v>94.864525376545643</v>
      </c>
      <c r="BP6" s="57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</row>
    <row r="7" spans="1:165" s="59" customFormat="1" ht="12.75" x14ac:dyDescent="0.2">
      <c r="A7" s="27">
        <v>25</v>
      </c>
      <c r="B7" s="393">
        <f t="shared" si="40"/>
        <v>0.48571428571428577</v>
      </c>
      <c r="C7" s="28">
        <f t="shared" ca="1" si="41"/>
        <v>91.643596435065717</v>
      </c>
      <c r="D7" s="29">
        <f t="shared" ca="1" si="0"/>
        <v>8.1335461040376533E-2</v>
      </c>
      <c r="E7" s="29">
        <f t="shared" ca="1" si="1"/>
        <v>2.6883157683128437E-2</v>
      </c>
      <c r="F7" s="29">
        <f t="shared" ca="1" si="42"/>
        <v>0.1361390180192534</v>
      </c>
      <c r="G7" s="29">
        <f t="shared" si="43"/>
        <v>2.331428571428572E-3</v>
      </c>
      <c r="H7" s="29">
        <f t="shared" ca="1" si="44"/>
        <v>5.1723589161192024E-3</v>
      </c>
      <c r="I7" s="29">
        <f t="shared" si="2"/>
        <v>2.3314285714285715E-3</v>
      </c>
      <c r="J7" s="29">
        <f t="shared" ca="1" si="45"/>
        <v>0.17285739176135817</v>
      </c>
      <c r="K7" s="29">
        <f t="shared" ca="1" si="46"/>
        <v>8.44785977584535E-3</v>
      </c>
      <c r="L7" s="29">
        <f t="shared" si="4"/>
        <v>0</v>
      </c>
      <c r="M7" s="29">
        <f t="shared" ca="1" si="47"/>
        <v>5.8771513198861776</v>
      </c>
      <c r="N7" s="28">
        <f ca="1">IF(Reset,150,J7*Rth_typ+$A7)</f>
        <v>30.877151319886178</v>
      </c>
      <c r="O7" s="30">
        <f t="shared" ca="1" si="5"/>
        <v>628.2103263354536</v>
      </c>
      <c r="P7" s="29">
        <f t="shared" si="48"/>
        <v>0.27814090618307236</v>
      </c>
      <c r="Q7" s="28">
        <f t="shared" ca="1" si="6"/>
        <v>261.75430263977233</v>
      </c>
      <c r="R7" s="29">
        <f t="shared" si="7"/>
        <v>0.66343793538114504</v>
      </c>
      <c r="S7" s="29">
        <f t="shared" ca="1" si="8"/>
        <v>5.4842437148834051</v>
      </c>
      <c r="T7" s="29">
        <f t="shared" ca="1" si="9"/>
        <v>5.0744525547445258</v>
      </c>
      <c r="U7" s="29">
        <f t="shared" ca="1" si="10"/>
        <v>2.6460393495559735</v>
      </c>
      <c r="V7" s="29">
        <f t="shared" ca="1" si="11"/>
        <v>2.46473409801877</v>
      </c>
      <c r="W7" s="28">
        <f t="shared" ca="1" si="58"/>
        <v>93.148051574984009</v>
      </c>
      <c r="X7" s="398">
        <f t="shared" si="49"/>
        <v>0.48571428571428577</v>
      </c>
      <c r="Y7" s="32">
        <f t="shared" ca="1" si="12"/>
        <v>44.607747551191558</v>
      </c>
      <c r="Z7" s="160">
        <f t="shared" ca="1" si="13"/>
        <v>0.34378880292395836</v>
      </c>
      <c r="AA7" s="160">
        <f t="shared" ca="1" si="14"/>
        <v>2.6883157683128437E-2</v>
      </c>
      <c r="AB7" s="160">
        <f t="shared" ca="1" si="50"/>
        <v>6.8323306812245341E-2</v>
      </c>
      <c r="AC7" s="160">
        <f t="shared" si="15"/>
        <v>9.3257142857142879E-3</v>
      </c>
      <c r="AD7" s="160">
        <f t="shared" ca="1" si="51"/>
        <v>3.5350565642008391E-2</v>
      </c>
      <c r="AE7" s="160">
        <f t="shared" si="16"/>
        <v>2.3314285714285715E-3</v>
      </c>
      <c r="AF7" s="160">
        <f t="shared" ca="1" si="52"/>
        <v>0.14221417299452502</v>
      </c>
      <c r="AG7" s="160">
        <f t="shared" ca="1" si="17"/>
        <v>8.4140505172259385E-3</v>
      </c>
      <c r="AH7" s="160">
        <f t="shared" si="18"/>
        <v>0</v>
      </c>
      <c r="AI7" s="160">
        <f t="shared" ca="1" si="53"/>
        <v>4.8352818818138488</v>
      </c>
      <c r="AJ7" s="32">
        <f ca="1">IF(Reset,150,AF7*Rth_typ+$A7)</f>
        <v>29.835281881813849</v>
      </c>
      <c r="AK7" s="33">
        <f t="shared" ca="1" si="19"/>
        <v>623.20935303270653</v>
      </c>
      <c r="AL7" s="160">
        <f t="shared" si="20"/>
        <v>0.27814090618307236</v>
      </c>
      <c r="AM7" s="32">
        <f t="shared" ca="1" si="21"/>
        <v>259.67056376362768</v>
      </c>
      <c r="AN7" s="160">
        <f t="shared" si="22"/>
        <v>0.66343793538114504</v>
      </c>
      <c r="AO7" s="160">
        <f t="shared" ca="1" si="23"/>
        <v>11.282590171557054</v>
      </c>
      <c r="AP7" s="47">
        <f t="shared" ca="1" si="24"/>
        <v>5.0744525547445258</v>
      </c>
      <c r="AQ7" s="160">
        <f t="shared" ca="1" si="59"/>
        <v>2.6153623215305211</v>
      </c>
      <c r="AR7" s="160">
        <f t="shared" ca="1" si="25"/>
        <v>2.46473409801877</v>
      </c>
      <c r="AS7" s="32">
        <f t="shared" ca="1" si="60"/>
        <v>94.240636478099788</v>
      </c>
      <c r="AT7" s="399">
        <f t="shared" si="61"/>
        <v>0.48571428571428577</v>
      </c>
      <c r="AU7" s="172">
        <f t="shared" ca="1" si="26"/>
        <v>33.240199959897559</v>
      </c>
      <c r="AV7" s="173">
        <f t="shared" ca="1" si="27"/>
        <v>0.40727362585730015</v>
      </c>
      <c r="AW7" s="173">
        <f t="shared" ca="1" si="28"/>
        <v>2.6883157683128437E-2</v>
      </c>
      <c r="AX7" s="173">
        <f t="shared" ca="1" si="54"/>
        <v>5.1716030306531567E-2</v>
      </c>
      <c r="AY7" s="173">
        <f t="shared" si="29"/>
        <v>1.6579047619047622E-2</v>
      </c>
      <c r="AZ7" s="173">
        <f t="shared" ca="1" si="55"/>
        <v>4.3277816297450526E-2</v>
      </c>
      <c r="BA7" s="173">
        <f t="shared" si="30"/>
        <v>2.3314285714285715E-3</v>
      </c>
      <c r="BB7" s="173">
        <f t="shared" ca="1" si="56"/>
        <v>0.14078748047758671</v>
      </c>
      <c r="BC7" s="173">
        <f t="shared" ca="1" si="31"/>
        <v>8.4124764196534026E-3</v>
      </c>
      <c r="BD7" s="173">
        <f t="shared" si="32"/>
        <v>0</v>
      </c>
      <c r="BE7" s="173">
        <f t="shared" ca="1" si="57"/>
        <v>4.7867743362379471</v>
      </c>
      <c r="BF7" s="34">
        <f ca="1">IF(Reset,150,BB7*Rth_typ+$A7)</f>
        <v>29.786774336237947</v>
      </c>
      <c r="BG7" s="400">
        <f t="shared" ca="1" si="33"/>
        <v>622.97651681394211</v>
      </c>
      <c r="BH7" s="173">
        <f t="shared" si="34"/>
        <v>0.27814090618307236</v>
      </c>
      <c r="BI7" s="34">
        <f t="shared" ca="1" si="35"/>
        <v>259.57354867247591</v>
      </c>
      <c r="BJ7" s="173">
        <f t="shared" si="36"/>
        <v>0.66343793538114504</v>
      </c>
      <c r="BK7" s="173">
        <f t="shared" ca="1" si="37"/>
        <v>15.146699418310899</v>
      </c>
      <c r="BL7" s="401">
        <f t="shared" ca="1" si="38"/>
        <v>5.0744525547445258</v>
      </c>
      <c r="BM7" s="173">
        <f t="shared" ca="1" si="62"/>
        <v>2.6139340549160099</v>
      </c>
      <c r="BN7" s="173">
        <f t="shared" ca="1" si="39"/>
        <v>2.46473409801877</v>
      </c>
      <c r="BO7" s="34">
        <f t="shared" ca="1" si="63"/>
        <v>94.292130032253851</v>
      </c>
      <c r="BP7" s="57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</row>
    <row r="8" spans="1:165" s="59" customFormat="1" ht="12.75" x14ac:dyDescent="0.2">
      <c r="A8" s="27">
        <v>25</v>
      </c>
      <c r="B8" s="393">
        <f t="shared" si="40"/>
        <v>0.61428571428571432</v>
      </c>
      <c r="C8" s="28">
        <f t="shared" ca="1" si="41"/>
        <v>93.876946479262159</v>
      </c>
      <c r="D8" s="29">
        <f t="shared" ca="1" si="0"/>
        <v>7.8786526215119404E-2</v>
      </c>
      <c r="E8" s="29">
        <f t="shared" ca="1" si="1"/>
        <v>2.6883157683128437E-2</v>
      </c>
      <c r="F8" s="29">
        <f t="shared" ca="1" si="42"/>
        <v>0.22831057941616653</v>
      </c>
      <c r="G8" s="29">
        <f t="shared" si="43"/>
        <v>2.9485714285714293E-3</v>
      </c>
      <c r="H8" s="29">
        <f t="shared" ca="1" si="44"/>
        <v>6.2047443912151444E-3</v>
      </c>
      <c r="I8" s="29">
        <f t="shared" si="2"/>
        <v>2.9485714285714289E-3</v>
      </c>
      <c r="J8" s="29">
        <f t="shared" ca="1" si="45"/>
        <v>0.26729562434765297</v>
      </c>
      <c r="K8" s="29">
        <f t="shared" ca="1" si="46"/>
        <v>1.3678849717218153E-2</v>
      </c>
      <c r="L8" s="29">
        <f t="shared" si="4"/>
        <v>0</v>
      </c>
      <c r="M8" s="29">
        <f t="shared" ca="1" si="47"/>
        <v>9.0880512278202019</v>
      </c>
      <c r="N8" s="28">
        <f ca="1">IF(Reset,150,J8*Rth_typ+$A8)</f>
        <v>34.088051227820202</v>
      </c>
      <c r="O8" s="30">
        <f t="shared" ca="1" si="5"/>
        <v>643.62264589353697</v>
      </c>
      <c r="P8" s="29">
        <f t="shared" si="48"/>
        <v>0.27814090618307236</v>
      </c>
      <c r="Q8" s="28">
        <f t="shared" ca="1" si="6"/>
        <v>268.17610245564038</v>
      </c>
      <c r="R8" s="29">
        <f t="shared" si="7"/>
        <v>0.66343793538114504</v>
      </c>
      <c r="S8" s="29">
        <f t="shared" ca="1" si="8"/>
        <v>5.3925743219267757</v>
      </c>
      <c r="T8" s="29">
        <f t="shared" ca="1" si="9"/>
        <v>5.0744525547445258</v>
      </c>
      <c r="U8" s="29">
        <f t="shared" ca="1" si="10"/>
        <v>3.3981381862650797</v>
      </c>
      <c r="V8" s="29">
        <f t="shared" ca="1" si="11"/>
        <v>3.1171637122002087</v>
      </c>
      <c r="W8" s="28">
        <f t="shared" ca="1" si="58"/>
        <v>91.731517123095799</v>
      </c>
      <c r="X8" s="398">
        <f t="shared" si="49"/>
        <v>0.61428571428571432</v>
      </c>
      <c r="Y8" s="32">
        <f t="shared" ca="1" si="12"/>
        <v>45.293949657380217</v>
      </c>
      <c r="Z8" s="160">
        <f t="shared" ca="1" si="13"/>
        <v>0.34696972317748337</v>
      </c>
      <c r="AA8" s="160">
        <f t="shared" ca="1" si="14"/>
        <v>2.6883157683128437E-2</v>
      </c>
      <c r="AB8" s="160">
        <f t="shared" ca="1" si="50"/>
        <v>0.11125668506569049</v>
      </c>
      <c r="AC8" s="160">
        <f t="shared" si="15"/>
        <v>1.1794285714285717E-2</v>
      </c>
      <c r="AD8" s="160">
        <f t="shared" ca="1" si="51"/>
        <v>5.5989945126929092E-2</v>
      </c>
      <c r="AE8" s="160">
        <f t="shared" si="16"/>
        <v>2.9485714285714289E-3</v>
      </c>
      <c r="AF8" s="160">
        <f t="shared" ca="1" si="52"/>
        <v>0.2088726450186052</v>
      </c>
      <c r="AG8" s="160">
        <f t="shared" ca="1" si="17"/>
        <v>1.3575748440484547E-2</v>
      </c>
      <c r="AH8" s="160">
        <f t="shared" si="18"/>
        <v>0</v>
      </c>
      <c r="AI8" s="160">
        <f t="shared" ca="1" si="53"/>
        <v>7.1016699306325748</v>
      </c>
      <c r="AJ8" s="32">
        <f ca="1">IF(Reset,150,AF8*Rth_typ+$A8)</f>
        <v>32.101669930632575</v>
      </c>
      <c r="AK8" s="33">
        <f t="shared" ca="1" si="19"/>
        <v>634.08801566703642</v>
      </c>
      <c r="AL8" s="160">
        <f t="shared" si="20"/>
        <v>0.27814090618307236</v>
      </c>
      <c r="AM8" s="32">
        <f t="shared" ca="1" si="21"/>
        <v>264.20333986126514</v>
      </c>
      <c r="AN8" s="160">
        <f t="shared" si="22"/>
        <v>0.66343793538114504</v>
      </c>
      <c r="AO8" s="160">
        <f t="shared" ca="1" si="23"/>
        <v>11.194232171503181</v>
      </c>
      <c r="AP8" s="47">
        <f t="shared" ca="1" si="24"/>
        <v>5.0744525547445258</v>
      </c>
      <c r="AQ8" s="160">
        <f t="shared" ca="1" si="59"/>
        <v>3.3396121056592984</v>
      </c>
      <c r="AR8" s="160">
        <f t="shared" ca="1" si="25"/>
        <v>3.1171637122002087</v>
      </c>
      <c r="AS8" s="32">
        <f t="shared" ca="1" si="60"/>
        <v>93.339094888231799</v>
      </c>
      <c r="AT8" s="399">
        <f t="shared" si="61"/>
        <v>0.61428571428571432</v>
      </c>
      <c r="AU8" s="172">
        <f t="shared" ca="1" si="26"/>
        <v>33.684843683822557</v>
      </c>
      <c r="AV8" s="173">
        <f t="shared" ca="1" si="27"/>
        <v>0.41116273131431486</v>
      </c>
      <c r="AW8" s="173">
        <f t="shared" ca="1" si="28"/>
        <v>2.6883157683128437E-2</v>
      </c>
      <c r="AX8" s="173">
        <f t="shared" ca="1" si="54"/>
        <v>8.3475398103077969E-2</v>
      </c>
      <c r="AY8" s="173">
        <f t="shared" si="29"/>
        <v>2.0967619047619051E-2</v>
      </c>
      <c r="AZ8" s="173">
        <f t="shared" ca="1" si="55"/>
        <v>6.8473971629008423E-2</v>
      </c>
      <c r="BA8" s="173">
        <f t="shared" si="30"/>
        <v>2.9485714285714289E-3</v>
      </c>
      <c r="BB8" s="173">
        <f t="shared" ca="1" si="56"/>
        <v>0.20274871789140531</v>
      </c>
      <c r="BC8" s="173">
        <f t="shared" ca="1" si="31"/>
        <v>1.3564941310949406E-2</v>
      </c>
      <c r="BD8" s="173">
        <f t="shared" si="32"/>
        <v>0</v>
      </c>
      <c r="BE8" s="173">
        <f t="shared" ca="1" si="57"/>
        <v>6.8934564083077809</v>
      </c>
      <c r="BF8" s="34">
        <f ca="1">IF(Reset,150,BB8*Rth_typ+$A8)</f>
        <v>31.893456408307781</v>
      </c>
      <c r="BG8" s="400">
        <f t="shared" ca="1" si="33"/>
        <v>633.08859075987732</v>
      </c>
      <c r="BH8" s="173">
        <f t="shared" si="34"/>
        <v>0.27814090618307236</v>
      </c>
      <c r="BI8" s="34">
        <f t="shared" ca="1" si="35"/>
        <v>263.78691281661554</v>
      </c>
      <c r="BJ8" s="173">
        <f t="shared" si="36"/>
        <v>0.66343793538114504</v>
      </c>
      <c r="BK8" s="173">
        <f t="shared" ca="1" si="37"/>
        <v>15.058825230243089</v>
      </c>
      <c r="BL8" s="401">
        <f t="shared" ca="1" si="38"/>
        <v>5.0744525547445258</v>
      </c>
      <c r="BM8" s="173">
        <f t="shared" ca="1" si="62"/>
        <v>3.3334773714025636</v>
      </c>
      <c r="BN8" s="173">
        <f t="shared" ca="1" si="39"/>
        <v>3.1171637122002087</v>
      </c>
      <c r="BO8" s="34">
        <f t="shared" ca="1" si="63"/>
        <v>93.510870628429046</v>
      </c>
      <c r="BP8" s="57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</row>
    <row r="9" spans="1:165" s="59" customFormat="1" ht="12.75" x14ac:dyDescent="0.2">
      <c r="A9" s="27">
        <v>25</v>
      </c>
      <c r="B9" s="393">
        <f t="shared" si="40"/>
        <v>0.74285714285714288</v>
      </c>
      <c r="C9" s="28">
        <f t="shared" ca="1" si="41"/>
        <v>95.8</v>
      </c>
      <c r="D9" s="29">
        <f t="shared" ca="1" si="0"/>
        <v>7.5408153547715767E-2</v>
      </c>
      <c r="E9" s="29">
        <f t="shared" ca="1" si="1"/>
        <v>2.6883157683128437E-2</v>
      </c>
      <c r="F9" s="29">
        <f t="shared" ca="1" si="42"/>
        <v>0.35129419048378063</v>
      </c>
      <c r="G9" s="29">
        <f t="shared" si="43"/>
        <v>3.5657142857142866E-3</v>
      </c>
      <c r="H9" s="29">
        <f t="shared" ca="1" si="44"/>
        <v>6.4171694503822197E-3</v>
      </c>
      <c r="I9" s="29">
        <f t="shared" si="2"/>
        <v>3.5657142857142853E-3</v>
      </c>
      <c r="J9" s="29">
        <f t="shared" ca="1" si="45"/>
        <v>0.39172594618871986</v>
      </c>
      <c r="K9" s="29">
        <f t="shared" ca="1" si="46"/>
        <v>2.0325242187100061E-2</v>
      </c>
      <c r="L9" s="29">
        <f t="shared" si="4"/>
        <v>0</v>
      </c>
      <c r="M9" s="29">
        <f t="shared" ca="1" si="47"/>
        <v>13.318682170416473</v>
      </c>
      <c r="N9" s="28">
        <f ca="1">IF(Reset,150,J9*Rth_typ+$A9)</f>
        <v>38.318682170416473</v>
      </c>
      <c r="O9" s="30">
        <f t="shared" ca="1" si="5"/>
        <v>663.92967441799908</v>
      </c>
      <c r="P9" s="29">
        <f t="shared" si="48"/>
        <v>0.27814090618307236</v>
      </c>
      <c r="Q9" s="28">
        <f t="shared" ca="1" si="6"/>
        <v>276.63736434083296</v>
      </c>
      <c r="R9" s="29">
        <f t="shared" si="7"/>
        <v>0.66343793538114504</v>
      </c>
      <c r="S9" s="29">
        <f t="shared" ca="1" si="8"/>
        <v>5.2935640656376437</v>
      </c>
      <c r="T9" s="29">
        <f t="shared" ca="1" si="9"/>
        <v>5.0744525547445258</v>
      </c>
      <c r="U9" s="29">
        <f t="shared" ca="1" si="10"/>
        <v>4.1816445147574681</v>
      </c>
      <c r="V9" s="29">
        <f t="shared" ca="1" si="11"/>
        <v>3.7695933263816479</v>
      </c>
      <c r="W9" s="28">
        <f t="shared" ca="1" si="58"/>
        <v>90.146192797554932</v>
      </c>
      <c r="X9" s="398">
        <f t="shared" si="49"/>
        <v>0.74285714285714288</v>
      </c>
      <c r="Y9" s="32">
        <f t="shared" ca="1" si="12"/>
        <v>46.030333478652757</v>
      </c>
      <c r="Z9" s="160">
        <f t="shared" ca="1" si="13"/>
        <v>0.35035076508878293</v>
      </c>
      <c r="AA9" s="160">
        <f t="shared" ca="1" si="14"/>
        <v>2.6883157683128437E-2</v>
      </c>
      <c r="AB9" s="160">
        <f t="shared" ca="1" si="50"/>
        <v>0.16765765243283745</v>
      </c>
      <c r="AC9" s="160">
        <f t="shared" si="15"/>
        <v>1.4262857142857147E-2</v>
      </c>
      <c r="AD9" s="160">
        <f t="shared" ca="1" si="51"/>
        <v>8.1906383860877674E-2</v>
      </c>
      <c r="AE9" s="160">
        <f t="shared" si="16"/>
        <v>3.5657142857142853E-3</v>
      </c>
      <c r="AF9" s="160">
        <f t="shared" ca="1" si="52"/>
        <v>0.294275765405415</v>
      </c>
      <c r="AG9" s="160">
        <f t="shared" ca="1" si="17"/>
        <v>2.0073745210710481E-2</v>
      </c>
      <c r="AH9" s="160">
        <f t="shared" si="18"/>
        <v>0</v>
      </c>
      <c r="AI9" s="160">
        <f t="shared" ca="1" si="53"/>
        <v>10.005376023784109</v>
      </c>
      <c r="AJ9" s="32">
        <f ca="1">IF(Reset,150,AF9*Rth_typ+$A9)</f>
        <v>35.005376023784109</v>
      </c>
      <c r="AK9" s="33">
        <f t="shared" ca="1" si="19"/>
        <v>648.0258049141637</v>
      </c>
      <c r="AL9" s="160">
        <f t="shared" si="20"/>
        <v>0.27814090618307236</v>
      </c>
      <c r="AM9" s="32">
        <f t="shared" ca="1" si="21"/>
        <v>270.01075204756819</v>
      </c>
      <c r="AN9" s="160">
        <f t="shared" si="22"/>
        <v>0.66343793538114504</v>
      </c>
      <c r="AO9" s="160">
        <f t="shared" ca="1" si="23"/>
        <v>11.100976682393595</v>
      </c>
      <c r="AP9" s="47">
        <f t="shared" ca="1" si="24"/>
        <v>5.0744525547445258</v>
      </c>
      <c r="AQ9" s="160">
        <f t="shared" ca="1" si="59"/>
        <v>4.0839428369977737</v>
      </c>
      <c r="AR9" s="160">
        <f t="shared" ca="1" si="25"/>
        <v>3.7695933263816479</v>
      </c>
      <c r="AS9" s="32">
        <f t="shared" ca="1" si="60"/>
        <v>92.302793570753948</v>
      </c>
      <c r="AT9" s="399">
        <f t="shared" si="61"/>
        <v>0.74285714285714288</v>
      </c>
      <c r="AU9" s="34">
        <f t="shared" ca="1" si="26"/>
        <v>34.157647982668365</v>
      </c>
      <c r="AV9" s="173">
        <f t="shared" ca="1" si="27"/>
        <v>0.41527393698511211</v>
      </c>
      <c r="AW9" s="173">
        <f t="shared" ca="1" si="28"/>
        <v>2.6883157683128437E-2</v>
      </c>
      <c r="AX9" s="173">
        <f t="shared" ca="1" si="54"/>
        <v>0.12491264577176066</v>
      </c>
      <c r="AY9" s="173">
        <f t="shared" si="29"/>
        <v>2.5356190476190477E-2</v>
      </c>
      <c r="AZ9" s="173">
        <f t="shared" ca="1" si="55"/>
        <v>0.10032577963327644</v>
      </c>
      <c r="BA9" s="173">
        <f t="shared" si="30"/>
        <v>3.5657142857142853E-3</v>
      </c>
      <c r="BB9" s="173">
        <f t="shared" ca="1" si="56"/>
        <v>0.28104348785007027</v>
      </c>
      <c r="BC9" s="173">
        <f t="shared" ca="1" si="31"/>
        <v>2.0039595681492915E-2</v>
      </c>
      <c r="BD9" s="173">
        <f t="shared" si="32"/>
        <v>0</v>
      </c>
      <c r="BE9" s="173">
        <f t="shared" ca="1" si="57"/>
        <v>9.5554785869023888</v>
      </c>
      <c r="BF9" s="34">
        <f ca="1">IF(Reset,150,BB9*Rth_typ+$A9)</f>
        <v>34.555478586902389</v>
      </c>
      <c r="BG9" s="400">
        <f t="shared" ca="1" si="33"/>
        <v>645.86629721713143</v>
      </c>
      <c r="BH9" s="173">
        <f t="shared" si="34"/>
        <v>0.27814090618307236</v>
      </c>
      <c r="BI9" s="34">
        <f t="shared" ca="1" si="35"/>
        <v>269.11095717380476</v>
      </c>
      <c r="BJ9" s="173">
        <f t="shared" si="36"/>
        <v>0.66343793538114504</v>
      </c>
      <c r="BK9" s="173">
        <f t="shared" ca="1" si="37"/>
        <v>14.966526345116987</v>
      </c>
      <c r="BL9" s="401">
        <f t="shared" ca="1" si="38"/>
        <v>5.0744525547445258</v>
      </c>
      <c r="BM9" s="173">
        <f t="shared" ca="1" si="62"/>
        <v>4.0706764099132116</v>
      </c>
      <c r="BN9" s="173">
        <f t="shared" ca="1" si="39"/>
        <v>3.7695933263816479</v>
      </c>
      <c r="BO9" s="34">
        <f t="shared" ca="1" si="63"/>
        <v>92.603610476176783</v>
      </c>
      <c r="BP9" s="57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</row>
    <row r="10" spans="1:165" s="59" customFormat="1" ht="12.75" x14ac:dyDescent="0.2">
      <c r="A10" s="27">
        <v>25</v>
      </c>
      <c r="B10" s="393">
        <f t="shared" si="40"/>
        <v>0.87142857142857144</v>
      </c>
      <c r="C10" s="28">
        <f t="shared" ca="1" si="41"/>
        <v>95.8</v>
      </c>
      <c r="D10" s="29">
        <f t="shared" ca="1" si="0"/>
        <v>6.9956926902514954E-2</v>
      </c>
      <c r="E10" s="29">
        <f t="shared" ca="1" si="1"/>
        <v>2.6883157683128437E-2</v>
      </c>
      <c r="F10" s="29">
        <f t="shared" ca="1" si="42"/>
        <v>0.50159046060849843</v>
      </c>
      <c r="G10" s="29">
        <f t="shared" si="43"/>
        <v>4.1828571428571435E-3</v>
      </c>
      <c r="H10" s="29">
        <f t="shared" ca="1" si="44"/>
        <v>9.16266499023876E-3</v>
      </c>
      <c r="I10" s="29">
        <f t="shared" si="2"/>
        <v>4.1828571428571435E-3</v>
      </c>
      <c r="J10" s="29">
        <f t="shared" ca="1" si="45"/>
        <v>0.54600199756757994</v>
      </c>
      <c r="K10" s="29">
        <f t="shared" ca="1" si="46"/>
        <v>2.8517658600790294E-2</v>
      </c>
      <c r="L10" s="29">
        <f t="shared" si="4"/>
        <v>0</v>
      </c>
      <c r="M10" s="29">
        <f t="shared" ca="1" si="47"/>
        <v>18.56406791729772</v>
      </c>
      <c r="N10" s="28">
        <f ca="1">IF(Reset,150,J10*Rth_typ+$A10)</f>
        <v>43.56406791729772</v>
      </c>
      <c r="O10" s="30">
        <f t="shared" ca="1" si="5"/>
        <v>689.10752600302908</v>
      </c>
      <c r="P10" s="29">
        <f t="shared" si="48"/>
        <v>0.27814090618307236</v>
      </c>
      <c r="Q10" s="28">
        <f t="shared" ca="1" si="6"/>
        <v>287.12813583459547</v>
      </c>
      <c r="R10" s="29">
        <f t="shared" si="7"/>
        <v>0.66343793538114504</v>
      </c>
      <c r="S10" s="29">
        <f t="shared" ca="1" si="8"/>
        <v>5.1854092846106505</v>
      </c>
      <c r="T10" s="29">
        <f t="shared" ca="1" si="9"/>
        <v>5.0744525547445258</v>
      </c>
      <c r="U10" s="29">
        <f t="shared" ca="1" si="10"/>
        <v>4.996542596731457</v>
      </c>
      <c r="V10" s="29">
        <f t="shared" ca="1" si="11"/>
        <v>4.4220229405630871</v>
      </c>
      <c r="W10" s="28">
        <f t="shared" ca="1" si="58"/>
        <v>88.501655994202906</v>
      </c>
      <c r="X10" s="398">
        <f t="shared" si="49"/>
        <v>0.87142857142857144</v>
      </c>
      <c r="Y10" s="32">
        <f t="shared" ca="1" si="12"/>
        <v>46.831701342368447</v>
      </c>
      <c r="Z10" s="160">
        <f t="shared" ca="1" si="13"/>
        <v>0.35399340820185504</v>
      </c>
      <c r="AA10" s="160">
        <f t="shared" ca="1" si="14"/>
        <v>2.6883157683128437E-2</v>
      </c>
      <c r="AB10" s="160">
        <f t="shared" ca="1" si="50"/>
        <v>0.23992114756052274</v>
      </c>
      <c r="AC10" s="160">
        <f t="shared" si="15"/>
        <v>1.6731428571428574E-2</v>
      </c>
      <c r="AD10" s="160">
        <f t="shared" ca="1" si="51"/>
        <v>0.11349327184844946</v>
      </c>
      <c r="AE10" s="160">
        <f t="shared" si="16"/>
        <v>4.1828571428571435E-3</v>
      </c>
      <c r="AF10" s="160">
        <f t="shared" ca="1" si="52"/>
        <v>0.40121186280638632</v>
      </c>
      <c r="AG10" s="160">
        <f t="shared" ca="1" si="17"/>
        <v>2.8003446758654089E-2</v>
      </c>
      <c r="AH10" s="160">
        <f t="shared" si="18"/>
        <v>0</v>
      </c>
      <c r="AI10" s="160">
        <f t="shared" ca="1" si="53"/>
        <v>13.641203335417131</v>
      </c>
      <c r="AJ10" s="32">
        <f ca="1">IF(Reset,150,AF10*Rth_typ+$A10)</f>
        <v>38.641203335417131</v>
      </c>
      <c r="AK10" s="33">
        <f t="shared" ca="1" si="19"/>
        <v>665.47777601000223</v>
      </c>
      <c r="AL10" s="160">
        <f t="shared" si="20"/>
        <v>0.27814090618307236</v>
      </c>
      <c r="AM10" s="32">
        <f t="shared" ca="1" si="21"/>
        <v>277.28240667083423</v>
      </c>
      <c r="AN10" s="160">
        <f t="shared" si="22"/>
        <v>0.66343793538114504</v>
      </c>
      <c r="AO10" s="160">
        <f t="shared" ca="1" si="23"/>
        <v>11.001300808154779</v>
      </c>
      <c r="AP10" s="47">
        <f t="shared" ca="1" si="24"/>
        <v>5.0744525547445258</v>
      </c>
      <c r="AQ10" s="160">
        <f t="shared" ca="1" si="59"/>
        <v>4.8512382501281275</v>
      </c>
      <c r="AR10" s="160">
        <f t="shared" ca="1" si="25"/>
        <v>4.4220229405630871</v>
      </c>
      <c r="AS10" s="32">
        <f t="shared" ca="1" si="60"/>
        <v>91.152458662410481</v>
      </c>
      <c r="AT10" s="399">
        <f t="shared" si="61"/>
        <v>0.87142857142857144</v>
      </c>
      <c r="AU10" s="172">
        <f t="shared" ca="1" si="26"/>
        <v>34.666351809956296</v>
      </c>
      <c r="AV10" s="173">
        <f t="shared" ca="1" si="27"/>
        <v>0.41967024108002021</v>
      </c>
      <c r="AW10" s="173">
        <f t="shared" ca="1" si="28"/>
        <v>2.6883157683128437E-2</v>
      </c>
      <c r="AX10" s="173">
        <f t="shared" ca="1" si="54"/>
        <v>0.17754822284522453</v>
      </c>
      <c r="AY10" s="173">
        <f t="shared" si="29"/>
        <v>2.9744761904761906E-2</v>
      </c>
      <c r="AZ10" s="173">
        <f t="shared" ca="1" si="55"/>
        <v>0.13942281831539902</v>
      </c>
      <c r="BA10" s="173">
        <f t="shared" si="30"/>
        <v>4.1828571428571435E-3</v>
      </c>
      <c r="BB10" s="173">
        <f t="shared" ca="1" si="56"/>
        <v>0.37778181789137105</v>
      </c>
      <c r="BC10" s="173">
        <f t="shared" ca="1" si="31"/>
        <v>2.7920236624365904E-2</v>
      </c>
      <c r="BD10" s="173">
        <f t="shared" si="32"/>
        <v>0</v>
      </c>
      <c r="BE10" s="173">
        <f t="shared" ca="1" si="57"/>
        <v>12.844581808306614</v>
      </c>
      <c r="BF10" s="34">
        <f ca="1">IF(Reset,150,BB10*Rth_typ+$A10)</f>
        <v>37.844581808306614</v>
      </c>
      <c r="BG10" s="400">
        <f t="shared" ca="1" si="33"/>
        <v>661.65399267987175</v>
      </c>
      <c r="BH10" s="173">
        <f t="shared" si="34"/>
        <v>0.27814090618307236</v>
      </c>
      <c r="BI10" s="34">
        <f t="shared" ca="1" si="35"/>
        <v>275.6891636166132</v>
      </c>
      <c r="BJ10" s="173">
        <f t="shared" si="36"/>
        <v>0.66343793538114504</v>
      </c>
      <c r="BK10" s="173">
        <f t="shared" ca="1" si="37"/>
        <v>14.868519668962083</v>
      </c>
      <c r="BL10" s="401">
        <f t="shared" ca="1" si="38"/>
        <v>5.0744525547445258</v>
      </c>
      <c r="BM10" s="173">
        <f t="shared" ca="1" si="62"/>
        <v>4.8277249950788237</v>
      </c>
      <c r="BN10" s="173">
        <f t="shared" ca="1" si="39"/>
        <v>4.4220229405630871</v>
      </c>
      <c r="BO10" s="34">
        <f t="shared" ca="1" si="63"/>
        <v>91.596413322438792</v>
      </c>
      <c r="BP10" s="57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</row>
    <row r="11" spans="1:165" s="60" customFormat="1" ht="13.5" thickBot="1" x14ac:dyDescent="0.25">
      <c r="A11" s="402">
        <v>25</v>
      </c>
      <c r="B11" s="403">
        <f>Iout</f>
        <v>1</v>
      </c>
      <c r="C11" s="35">
        <f t="shared" ca="1" si="41"/>
        <v>95.8</v>
      </c>
      <c r="D11" s="46">
        <f t="shared" ca="1" si="0"/>
        <v>6.3879141598059838E-2</v>
      </c>
      <c r="E11" s="36">
        <f t="shared" ca="1" si="1"/>
        <v>2.6883157683128437E-2</v>
      </c>
      <c r="F11" s="36">
        <f t="shared" ca="1" si="42"/>
        <v>0.69069918593550061</v>
      </c>
      <c r="G11" s="36">
        <f t="shared" si="43"/>
        <v>4.8000000000000004E-3</v>
      </c>
      <c r="H11" s="36">
        <f t="shared" ca="1" si="44"/>
        <v>1.261715631928108E-2</v>
      </c>
      <c r="I11" s="36">
        <f t="shared" si="2"/>
        <v>4.7999999999999996E-3</v>
      </c>
      <c r="J11" s="36">
        <f t="shared" ca="1" si="45"/>
        <v>0.73979949993791017</v>
      </c>
      <c r="K11" s="36">
        <f t="shared" ca="1" si="46"/>
        <v>3.8459820321359625E-2</v>
      </c>
      <c r="L11" s="36">
        <f t="shared" si="4"/>
        <v>0</v>
      </c>
      <c r="M11" s="36">
        <f t="shared" ca="1" si="47"/>
        <v>25.153182997888948</v>
      </c>
      <c r="N11" s="35">
        <f ca="1">IF(Reset,150,J11*Rth_typ+$A11)</f>
        <v>50.153182997888948</v>
      </c>
      <c r="O11" s="404">
        <f ca="1">RdsHS_max+RdsHS_max*TCR_Rds/100*(N11-25)</f>
        <v>720.73527838986695</v>
      </c>
      <c r="P11" s="29">
        <f t="shared" si="48"/>
        <v>0.27814090618307236</v>
      </c>
      <c r="Q11" s="35">
        <f t="shared" ca="1" si="6"/>
        <v>300.30636599577792</v>
      </c>
      <c r="R11" s="29">
        <f t="shared" si="7"/>
        <v>0.66343793538114504</v>
      </c>
      <c r="S11" s="36">
        <f t="shared" ca="1" si="8"/>
        <v>5.0647697210753879</v>
      </c>
      <c r="T11" s="36">
        <f t="shared" ca="1" si="9"/>
        <v>5.0647697210753879</v>
      </c>
      <c r="U11" s="36">
        <f t="shared" ca="1" si="10"/>
        <v>5.8430290413346579</v>
      </c>
      <c r="V11" s="36">
        <f t="shared" ca="1" si="11"/>
        <v>5.0647697210753879</v>
      </c>
      <c r="W11" s="35">
        <f t="shared" ca="1" si="58"/>
        <v>86.680550194878023</v>
      </c>
      <c r="X11" s="405">
        <f>Iout</f>
        <v>1</v>
      </c>
      <c r="Y11" s="37">
        <f t="shared" ca="1" si="12"/>
        <v>47.717305110591212</v>
      </c>
      <c r="Z11" s="161">
        <f t="shared" ca="1" si="13"/>
        <v>0.3579759767158523</v>
      </c>
      <c r="AA11" s="161">
        <f t="shared" ca="1" si="14"/>
        <v>2.6883157683128437E-2</v>
      </c>
      <c r="AB11" s="161">
        <f t="shared" ca="1" si="50"/>
        <v>0.33135159722677876</v>
      </c>
      <c r="AC11" s="161">
        <f t="shared" si="15"/>
        <v>1.9200000000000002E-2</v>
      </c>
      <c r="AD11" s="161">
        <f t="shared" ca="1" si="51"/>
        <v>0.15127246480404552</v>
      </c>
      <c r="AE11" s="161">
        <f t="shared" si="16"/>
        <v>4.7999999999999996E-3</v>
      </c>
      <c r="AF11" s="161">
        <f t="shared" ca="1" si="52"/>
        <v>0.53350721971395276</v>
      </c>
      <c r="AG11" s="161">
        <f t="shared" ca="1" si="17"/>
        <v>3.7495053214436247E-2</v>
      </c>
      <c r="AH11" s="161">
        <f t="shared" si="18"/>
        <v>0</v>
      </c>
      <c r="AI11" s="161">
        <f t="shared" ca="1" si="53"/>
        <v>18.139245470274389</v>
      </c>
      <c r="AJ11" s="37">
        <f ca="1">IF(Reset,150,AF11*Rth_typ+$A11)</f>
        <v>43.139245470274389</v>
      </c>
      <c r="AK11" s="406">
        <f t="shared" ca="1" si="19"/>
        <v>687.06837825731702</v>
      </c>
      <c r="AL11" s="160">
        <f t="shared" si="20"/>
        <v>0.27814090618307236</v>
      </c>
      <c r="AM11" s="37">
        <f t="shared" ca="1" si="21"/>
        <v>286.27849094054875</v>
      </c>
      <c r="AN11" s="160">
        <f t="shared" si="22"/>
        <v>0.66343793538114504</v>
      </c>
      <c r="AO11" s="161">
        <f t="shared" ca="1" si="23"/>
        <v>10.893291946603432</v>
      </c>
      <c r="AP11" s="407">
        <f t="shared" ca="1" si="24"/>
        <v>5.0744525547445258</v>
      </c>
      <c r="AQ11" s="161">
        <f t="shared" ca="1" si="59"/>
        <v>5.6454548276729151</v>
      </c>
      <c r="AR11" s="161">
        <f t="shared" ca="1" si="25"/>
        <v>5.0744525547445258</v>
      </c>
      <c r="AS11" s="37">
        <f t="shared" ca="1" si="60"/>
        <v>89.885628521382415</v>
      </c>
      <c r="AT11" s="408">
        <f>Iout</f>
        <v>1</v>
      </c>
      <c r="AU11" s="172">
        <f t="shared" ca="1" si="26"/>
        <v>35.220664655592131</v>
      </c>
      <c r="AV11" s="176">
        <f t="shared" ca="1" si="27"/>
        <v>0.42442963828575425</v>
      </c>
      <c r="AW11" s="176">
        <f t="shared" ca="1" si="28"/>
        <v>2.6883157683128437E-2</v>
      </c>
      <c r="AX11" s="176">
        <f t="shared" ca="1" si="54"/>
        <v>0.24342190680213729</v>
      </c>
      <c r="AY11" s="176">
        <f t="shared" si="29"/>
        <v>3.4133333333333335E-2</v>
      </c>
      <c r="AZ11" s="176">
        <f t="shared" ca="1" si="55"/>
        <v>0.18654660889549668</v>
      </c>
      <c r="BA11" s="176">
        <f t="shared" si="30"/>
        <v>4.7999999999999996E-3</v>
      </c>
      <c r="BB11" s="176">
        <f t="shared" ca="1" si="56"/>
        <v>0.49578500671409581</v>
      </c>
      <c r="BC11" s="176">
        <f t="shared" ca="1" si="31"/>
        <v>3.7318637740899815E-2</v>
      </c>
      <c r="BD11" s="176">
        <f t="shared" si="32"/>
        <v>0</v>
      </c>
      <c r="BE11" s="176">
        <f t="shared" ca="1" si="57"/>
        <v>16.856690228279263</v>
      </c>
      <c r="BF11" s="38">
        <f ca="1">IF(Reset,150,BB11*Rth_typ+$A11)</f>
        <v>41.856690228279263</v>
      </c>
      <c r="BG11" s="409">
        <f t="shared" ca="1" si="33"/>
        <v>680.91211309574044</v>
      </c>
      <c r="BH11" s="173">
        <f t="shared" si="34"/>
        <v>0.27814090618307236</v>
      </c>
      <c r="BI11" s="38">
        <f t="shared" ca="1" si="35"/>
        <v>283.71338045655853</v>
      </c>
      <c r="BJ11" s="173">
        <f t="shared" si="36"/>
        <v>0.66343793538114504</v>
      </c>
      <c r="BK11" s="176">
        <f t="shared" ca="1" si="37"/>
        <v>14.763238898749515</v>
      </c>
      <c r="BL11" s="410">
        <f t="shared" ca="1" si="38"/>
        <v>5.0744525547445258</v>
      </c>
      <c r="BM11" s="176">
        <f t="shared" ca="1" si="62"/>
        <v>5.6075561991995215</v>
      </c>
      <c r="BN11" s="176">
        <f t="shared" ca="1" si="39"/>
        <v>5.0744525547445258</v>
      </c>
      <c r="BO11" s="38">
        <f t="shared" ca="1" si="63"/>
        <v>90.493119898983878</v>
      </c>
      <c r="BP11" s="57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</row>
    <row r="12" spans="1:165" s="63" customFormat="1" ht="12.75" x14ac:dyDescent="0.2">
      <c r="A12" s="411"/>
      <c r="B12" s="412"/>
      <c r="C12" s="413"/>
      <c r="D12" s="414"/>
      <c r="E12" s="415"/>
      <c r="F12" s="389" t="s">
        <v>223</v>
      </c>
      <c r="G12" s="389" t="s">
        <v>223</v>
      </c>
      <c r="H12" s="389" t="s">
        <v>224</v>
      </c>
      <c r="I12" s="415"/>
      <c r="J12" s="415"/>
      <c r="K12" s="415"/>
      <c r="L12" s="415"/>
      <c r="M12" s="415"/>
      <c r="N12" s="416"/>
      <c r="O12" s="389" t="s">
        <v>223</v>
      </c>
      <c r="P12" s="415"/>
      <c r="Q12" s="389" t="s">
        <v>224</v>
      </c>
      <c r="R12" s="415"/>
      <c r="S12" s="415"/>
      <c r="T12" s="415"/>
      <c r="U12" s="415"/>
      <c r="V12" s="415"/>
      <c r="W12" s="415"/>
      <c r="X12" s="417"/>
      <c r="Y12" s="416"/>
      <c r="Z12" s="415"/>
      <c r="AA12" s="415"/>
      <c r="AB12" s="389" t="s">
        <v>223</v>
      </c>
      <c r="AC12" s="389" t="s">
        <v>223</v>
      </c>
      <c r="AD12" s="389" t="s">
        <v>224</v>
      </c>
      <c r="AE12" s="415"/>
      <c r="AF12" s="415"/>
      <c r="AG12" s="415"/>
      <c r="AH12" s="415"/>
      <c r="AI12" s="415"/>
      <c r="AJ12" s="416"/>
      <c r="AK12" s="389" t="s">
        <v>223</v>
      </c>
      <c r="AL12" s="389"/>
      <c r="AM12" s="389" t="s">
        <v>224</v>
      </c>
      <c r="AN12" s="389"/>
      <c r="AO12" s="415"/>
      <c r="AP12" s="415"/>
      <c r="AQ12" s="415"/>
      <c r="AR12" s="415"/>
      <c r="AS12" s="416"/>
      <c r="AT12" s="412"/>
      <c r="AU12" s="416"/>
      <c r="AV12" s="415"/>
      <c r="AW12" s="415"/>
      <c r="AX12" s="389" t="s">
        <v>223</v>
      </c>
      <c r="AY12" s="389" t="s">
        <v>223</v>
      </c>
      <c r="AZ12" s="389" t="s">
        <v>224</v>
      </c>
      <c r="BA12" s="415"/>
      <c r="BB12" s="415"/>
      <c r="BC12" s="415"/>
      <c r="BD12" s="415"/>
      <c r="BE12" s="415"/>
      <c r="BF12" s="416"/>
      <c r="BG12" s="389" t="s">
        <v>223</v>
      </c>
      <c r="BH12" s="389"/>
      <c r="BI12" s="389" t="s">
        <v>224</v>
      </c>
      <c r="BJ12" s="389"/>
      <c r="BK12" s="415"/>
      <c r="BL12" s="415"/>
      <c r="BM12" s="415"/>
      <c r="BN12" s="415"/>
      <c r="BO12" s="416"/>
      <c r="BP12" s="61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</row>
    <row r="13" spans="1:165" ht="15.75" thickBot="1" x14ac:dyDescent="0.3">
      <c r="A13" s="18" t="s">
        <v>266</v>
      </c>
      <c r="B13" s="18" t="s">
        <v>222</v>
      </c>
      <c r="C13" s="13" t="s">
        <v>267</v>
      </c>
      <c r="D13" s="13" t="s">
        <v>268</v>
      </c>
      <c r="E13" s="13" t="s">
        <v>225</v>
      </c>
      <c r="F13" s="13" t="s">
        <v>227</v>
      </c>
      <c r="G13" s="13" t="s">
        <v>226</v>
      </c>
      <c r="H13" s="13" t="s">
        <v>227</v>
      </c>
      <c r="I13" s="13" t="s">
        <v>228</v>
      </c>
      <c r="J13" s="13" t="s">
        <v>229</v>
      </c>
      <c r="K13" s="13" t="s">
        <v>269</v>
      </c>
      <c r="L13" s="13" t="s">
        <v>270</v>
      </c>
      <c r="M13" s="13" t="s">
        <v>271</v>
      </c>
      <c r="N13" s="13" t="s">
        <v>272</v>
      </c>
      <c r="O13" s="13" t="s">
        <v>273</v>
      </c>
      <c r="P13" s="13" t="s">
        <v>274</v>
      </c>
      <c r="Q13" s="13" t="s">
        <v>273</v>
      </c>
      <c r="R13" s="13" t="s">
        <v>275</v>
      </c>
      <c r="S13" s="13" t="s">
        <v>276</v>
      </c>
      <c r="T13" s="13" t="s">
        <v>277</v>
      </c>
      <c r="U13" s="13" t="s">
        <v>278</v>
      </c>
      <c r="V13" s="13" t="s">
        <v>279</v>
      </c>
      <c r="W13" s="13" t="s">
        <v>280</v>
      </c>
      <c r="X13" s="19" t="s">
        <v>222</v>
      </c>
      <c r="Y13" s="13" t="s">
        <v>267</v>
      </c>
      <c r="Z13" s="13" t="s">
        <v>268</v>
      </c>
      <c r="AA13" s="13" t="s">
        <v>225</v>
      </c>
      <c r="AB13" s="13" t="s">
        <v>227</v>
      </c>
      <c r="AC13" s="13" t="s">
        <v>226</v>
      </c>
      <c r="AD13" s="13" t="s">
        <v>227</v>
      </c>
      <c r="AE13" s="13" t="s">
        <v>228</v>
      </c>
      <c r="AF13" s="13" t="s">
        <v>229</v>
      </c>
      <c r="AG13" s="13" t="s">
        <v>269</v>
      </c>
      <c r="AH13" s="13" t="s">
        <v>270</v>
      </c>
      <c r="AI13" s="13" t="s">
        <v>271</v>
      </c>
      <c r="AJ13" s="13" t="s">
        <v>272</v>
      </c>
      <c r="AK13" s="13" t="s">
        <v>273</v>
      </c>
      <c r="AL13" s="13" t="s">
        <v>274</v>
      </c>
      <c r="AM13" s="13" t="s">
        <v>273</v>
      </c>
      <c r="AN13" s="13" t="s">
        <v>275</v>
      </c>
      <c r="AO13" s="13" t="s">
        <v>276</v>
      </c>
      <c r="AP13" s="13" t="s">
        <v>277</v>
      </c>
      <c r="AQ13" s="13" t="s">
        <v>278</v>
      </c>
      <c r="AR13" s="13" t="s">
        <v>279</v>
      </c>
      <c r="AS13" s="418" t="s">
        <v>280</v>
      </c>
      <c r="AT13" s="18" t="s">
        <v>222</v>
      </c>
      <c r="AU13" s="13" t="s">
        <v>267</v>
      </c>
      <c r="AV13" s="13" t="s">
        <v>268</v>
      </c>
      <c r="AW13" s="13" t="s">
        <v>225</v>
      </c>
      <c r="AX13" s="13" t="s">
        <v>227</v>
      </c>
      <c r="AY13" s="13" t="s">
        <v>226</v>
      </c>
      <c r="AZ13" s="13" t="s">
        <v>227</v>
      </c>
      <c r="BA13" s="13" t="s">
        <v>228</v>
      </c>
      <c r="BB13" s="13" t="s">
        <v>229</v>
      </c>
      <c r="BC13" s="13" t="s">
        <v>269</v>
      </c>
      <c r="BD13" s="13" t="s">
        <v>270</v>
      </c>
      <c r="BE13" s="13" t="s">
        <v>271</v>
      </c>
      <c r="BF13" s="13" t="s">
        <v>272</v>
      </c>
      <c r="BG13" s="13" t="s">
        <v>273</v>
      </c>
      <c r="BH13" s="13" t="s">
        <v>274</v>
      </c>
      <c r="BI13" s="13" t="s">
        <v>273</v>
      </c>
      <c r="BJ13" s="13" t="s">
        <v>275</v>
      </c>
      <c r="BK13" s="13" t="s">
        <v>276</v>
      </c>
      <c r="BL13" s="13" t="s">
        <v>277</v>
      </c>
      <c r="BM13" s="13" t="s">
        <v>278</v>
      </c>
      <c r="BN13" s="13" t="s">
        <v>279</v>
      </c>
      <c r="BO13" s="418" t="s">
        <v>280</v>
      </c>
      <c r="BP13" s="64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</row>
    <row r="14" spans="1:165" s="65" customFormat="1" ht="12.75" customHeight="1" x14ac:dyDescent="0.25">
      <c r="A14" s="419">
        <f>Design!$D$15</f>
        <v>80</v>
      </c>
      <c r="B14" s="420">
        <v>0.1</v>
      </c>
      <c r="C14" s="21">
        <f t="shared" ref="C14:C21" ca="1" si="64">IF( 100*(Vout_typ+B14*(IF(ISBLANK(DCRLo_Sel),DCR_Lo,DCRLo_Sel)/1000*(1+TCR_DCRLo/100*(N14-25))+Q14/1000))/(C$2-B14*O14/1000) &gt; ChosenmaxDuty_max, ChosenmaxDuty_max, 100*(Vout_typ+B14*(IF(ISBLANK(DCRLo_Sel),DCR_Lo,DCRLo_Sel)/1000*(1+TCR_DCRLo/100*(N14-25))+Q14/1000))/(C$2-B14*O14/1000) )</f>
        <v>86.503766028778912</v>
      </c>
      <c r="D14" s="22">
        <f t="shared" ref="D14:D21" ca="1" si="65">IF( (C$2-B14*(IF(ISBLANK(DCRLo_Sel),DCR_Lo,DCRLo_Sel)/1000*(1+TCR_DCRLo/100*(N14-25))+Q14/1000)-(Vout_typ)) / (IF(ISBLANK(Lo_sel),Lo_Ridley,Lo_sel)/1000000) * C14/100 / (IF(ISBLANK(Fsw_Sel),Fsw_Recom,Fsw_Sel)*1000000) &lt; 0, 0, (C$2-B14*(IF(ISBLANK(DCRLo_Sel),DCR_Lo,DCRLo_Sel)/1000*(1+TCR_DCRLo/100*(N14-25))+Q14/1000)-(Vout_typ)) / (IF(ISBLANK(Lo_sel),Lo_Ridley,Lo_sel)/1000000) * C14/100 / (IF(ISBLANK(Fsw_Sel),Fsw_Recom,Fsw_Sel)*1000000) )</f>
        <v>8.6997883914403135E-2</v>
      </c>
      <c r="E14" s="22">
        <f t="shared" ref="E14:E21" ca="1" si="66">(IQ/1000+IF(ISBLANK(Fsw_Sel),Fsw_Recom,Fsw_Sel)*1000000*(P14+R14)/1000000000)*IF(T14&lt;3.3,C$2,Vout)</f>
        <v>2.6883157683128437E-2</v>
      </c>
      <c r="F14" s="22">
        <f ca="1">C14/100*(B14^2+D14^2/12)*O14/1000</f>
        <v>7.9998934200491596E-3</v>
      </c>
      <c r="G14" s="22">
        <f t="shared" ref="G14:G21" si="67">C$2*B14*(C$2/(SR_rise*1000000000)*IF(ISBLANK(Fsw_Sel),Fsw_Recom,Fsw_Sel)*1000000/2+C$2/(SR_fall*1000000000)*IF(ISBLANK(Fsw_Sel),Fsw_Recom,Fsw_Sel)*1000000/2)</f>
        <v>4.8000000000000017E-4</v>
      </c>
      <c r="H14" s="22">
        <f ca="1">(1-C14/100)*(B14^2+D14^2/12)*Q14/1000</f>
        <v>5.2005651650807662E-4</v>
      </c>
      <c r="I14" s="22">
        <f t="shared" ref="I14:I21" si="68">IF(Sync?="yes",2*B14*tnonOverlap/1000000000*VSD_LS*IF(ISBLANK(Fsw_Sel),Fsw_Recom,Fsw_Sel)*1000000,0)</f>
        <v>4.8000000000000001E-4</v>
      </c>
      <c r="J14" s="22">
        <f ca="1">SUM(E14:I14)</f>
        <v>3.6363107619685676E-2</v>
      </c>
      <c r="K14" s="22">
        <f t="shared" ref="K14:K21" ca="1" si="69">B14^2*IF(ISBLANK(DCRLo_Sel),DCR_Lo,DCRLo_Sel)/1000*(1+(N14-25)*(TCR_DCRLo/100))</f>
        <v>4.2735309345405E-4</v>
      </c>
      <c r="L14" s="22">
        <f t="shared" ref="L14:L21" si="70">0.5*Csnub/1000000000000*C$2^2*Fsw_Sel*1000000</f>
        <v>0</v>
      </c>
      <c r="M14" s="22">
        <f ca="1">N14-$A14</f>
        <v>1.2363456590693147</v>
      </c>
      <c r="N14" s="21">
        <f ca="1">IF(Reset,150,J14*Rth_typ+$A14)</f>
        <v>81.236345659069315</v>
      </c>
      <c r="O14" s="30">
        <f t="shared" ref="O14:O21" ca="1" si="71">RdsHS_max+RdsHS_max*TCR_Rds/100*(N14-25)</f>
        <v>869.93445916353267</v>
      </c>
      <c r="P14" s="22">
        <f t="shared" ref="P14:P21" si="72">1/(0.0072*RdsHS_typ-0.0047)</f>
        <v>0.27814090618307236</v>
      </c>
      <c r="Q14" s="21">
        <f t="shared" ref="Q14:Q21" ca="1" si="73">IF(Sync?="yes",RdsLS_max+RdsLS_max*TCR_Rds/100*(N14-25),0)</f>
        <v>362.47269131813863</v>
      </c>
      <c r="R14" s="22">
        <f t="shared" ref="R14:R21" si="74">IF(Sync?="yes",1/(0.0072*RdsLS_typ-0.0047),0)</f>
        <v>0.66343793538114504</v>
      </c>
      <c r="S14" s="22">
        <f t="shared" ref="S14:S21" ca="1" si="75">(1-toffmin_typ/1000000000*Fsw_Sel*1000000) * (C$2-B14*O14/1000) - (B14*DCRLo_Sel/1000)</f>
        <v>5.7084643312448025</v>
      </c>
      <c r="T14" s="31">
        <f t="shared" ref="T14:T21" ca="1" si="76">IF(S14&gt;(Vout_typ),(Vout_typ),S14)</f>
        <v>5.0744525547445258</v>
      </c>
      <c r="U14" s="22">
        <f t="shared" ref="U14:U21" ca="1" si="77">SUM(J14:L14)+V14</f>
        <v>0.54423571618759237</v>
      </c>
      <c r="V14" s="22">
        <f t="shared" ref="V14:V21" ca="1" si="78">T14*B14</f>
        <v>0.50744525547445263</v>
      </c>
      <c r="W14" s="21">
        <f ca="1">100*V14/U14</f>
        <v>93.239976793353549</v>
      </c>
      <c r="X14" s="394">
        <v>0.1</v>
      </c>
      <c r="Y14" s="23">
        <f t="shared" ref="Y14:Y21" ca="1" si="79">IF( 100*(Vout_typ+X14*(IF(ISBLANK(DCRLo_Sel),DCR_Lo,DCRLo_Sel)/1000*(1+TCR_DCRLo/100*(AJ14-25))+AM14/1000))/(Y$2-X14*AK14/1000) &gt; ChosenmaxDuty_max, ChosenmaxDuty_max, 100*(Vout_typ+X14*(IF(ISBLANK(DCRLo_Sel),DCR_Lo,DCRLo_Sel)/1000*(1+TCR_DCRLo/100*(AJ14-25))+AM14/1000))/(Y$2-X14*AK14/1000) )</f>
        <v>42.93654290084767</v>
      </c>
      <c r="Z14" s="159">
        <f t="shared" ref="Z14:Z21" ca="1" si="80">IF( (Y$2-X14*(IF(ISBLANK(DCRLo_Sel),DCR_Lo,DCRLo_Sel)/1000*(1+TCR_DCRLo/100*(AJ14-25))+AM14/1000)-(Vout_typ)) / (IF(ISBLANK(Lo_sel),Lo_Ridley,Lo_sel)/1000000) * Y14/100 / (IF(ISBLANK(Fsw_Sel),Fsw_Recom,Fsw_Sel)*1000000) &lt; 0, 0, (Y$2-X14*(IF(ISBLANK(DCRLo_Sel),DCR_Lo,DCRLo_Sel)/1000*(1+TCR_DCRLo/100*(AJ14-25))+AM14/1000)-(Vout_typ)) / (IF(ISBLANK(Lo_sel),Lo_Ridley,Lo_sel)/1000000) * Y14/100 / (IF(ISBLANK(Fsw_Sel),Fsw_Recom,Fsw_Sel)*1000000) )</f>
        <v>0.33592947087669817</v>
      </c>
      <c r="AA14" s="159">
        <f t="shared" ref="AA14:AA21" ca="1" si="81">(IQ/1000+IF(ISBLANK(Fsw_Sel),Fsw_Recom,Fsw_Sel)*1000000*(AL14+AN14)/1000000000)*IF(AP14&lt;3.3,Y$2,Vout)</f>
        <v>2.6883157683128437E-2</v>
      </c>
      <c r="AB14" s="159">
        <f ca="1">Y14/100*(X14^2+Z14^2/12)*AK14/1000</f>
        <v>7.2534942237773483E-3</v>
      </c>
      <c r="AC14" s="159">
        <f t="shared" ref="AC14:AC21" si="82">Y$2*X14*(Y$2/(SR_rise*1000000000)*IF(ISBLANK(Fsw_Sel),Fsw_Recom,Fsw_Sel)*1000000/2+Y$2/(SR_fall*1000000000)*IF(ISBLANK(Fsw_Sel),Fsw_Recom,Fsw_Sel)*1000000/2)</f>
        <v>1.9200000000000007E-3</v>
      </c>
      <c r="AD14" s="159">
        <f ca="1">(1-Y14/100)*(X14^2+Z14^2/12)*AM14/1000</f>
        <v>4.0166781457512306E-3</v>
      </c>
      <c r="AE14" s="159">
        <f t="shared" ref="AE14:AE21" si="83">IF(Sync?="yes",2*X14*tnonOverlap/1000000000*VSD_LS*IF(ISBLANK(Fsw_Sel),Fsw_Recom,Fsw_Sel)*1000000,0)</f>
        <v>4.8000000000000001E-4</v>
      </c>
      <c r="AF14" s="159">
        <f ca="1">SUM(AA14:AE14)</f>
        <v>4.0553330052657016E-2</v>
      </c>
      <c r="AG14" s="159">
        <f t="shared" ref="AG14:AG21" ca="1" si="84">X14^2*IF(ISBLANK(DCRLo_Sel),DCR_Lo,DCRLo_Sel)/1000*(1+(AJ14-25)*(TCR_DCRLo/100))</f>
        <v>4.2754905758657277E-4</v>
      </c>
      <c r="AH14" s="159">
        <f t="shared" ref="AH14:AH21" si="85">0.5*Csnub/1000000000000*Y$2^2*Fsw_Sel*1000000</f>
        <v>0</v>
      </c>
      <c r="AI14" s="159">
        <f ca="1">AJ14-$A14</f>
        <v>1.3788132217903382</v>
      </c>
      <c r="AJ14" s="23">
        <f ca="1">IF(Reset,150,AF14*Rth_typ+$A14)</f>
        <v>81.378813221790338</v>
      </c>
      <c r="AK14" s="33">
        <f t="shared" ref="AK14:AK21" ca="1" si="86">RdsHS_max+RdsHS_max*TCR_Rds/100*(AJ14-25)</f>
        <v>870.61830346459362</v>
      </c>
      <c r="AL14" s="159">
        <f t="shared" ref="AL14:AL21" si="87">1/(0.0072*RdsHS_typ-0.0047)</f>
        <v>0.27814090618307236</v>
      </c>
      <c r="AM14" s="23">
        <f t="shared" ref="AM14:AM21" ca="1" si="88">IF(Sync?="yes",RdsLS_max+RdsLS_max*TCR_Rds/100*(AJ14-25),0)</f>
        <v>362.75762644358065</v>
      </c>
      <c r="AN14" s="159">
        <f t="shared" ref="AN14:AN21" si="89">IF(Sync?="yes",1/(0.0072*RdsLS_typ-0.0047),0)</f>
        <v>0.66343793538114504</v>
      </c>
      <c r="AO14" s="159">
        <f t="shared" ref="AO14:AO21" ca="1" si="90">(1-toffmin_typ/1000000000*Fsw_Sel*1000000) * (Y$2-X14*AK14/1000) - (X14*DCRLo_Sel/1000)</f>
        <v>11.50439827188532</v>
      </c>
      <c r="AP14" s="25">
        <f t="shared" ref="AP14:AP21" ca="1" si="91">IF(AO14&gt;(Vout_typ),(Vout_typ),AO14)</f>
        <v>5.0744525547445258</v>
      </c>
      <c r="AQ14" s="159">
        <f ca="1">SUM(AF14:AH14)+AR14</f>
        <v>0.54842613458469625</v>
      </c>
      <c r="AR14" s="159">
        <f t="shared" ref="AR14:AR21" ca="1" si="92">AP14*X14</f>
        <v>0.50744525547445263</v>
      </c>
      <c r="AS14" s="23">
        <f ca="1">100*AR14/AQ14</f>
        <v>92.527548100661363</v>
      </c>
      <c r="AT14" s="395">
        <v>0.1</v>
      </c>
      <c r="AU14" s="26">
        <f t="shared" ref="AU14:AU21" ca="1" si="93">IF( 100*(Vout_typ+AT14*(IF(ISBLANK(DCRLo_Sel),DCR_Lo,DCRLo_Sel)/1000*(1+TCR_DCRLo/100*(BF14-25))+BI14/1000))/(AU$2-AT14*BG14/1000) &gt; ChosenmaxDuty_max, ChosenmaxDuty_max, 100*(Vout_typ+AT14*(IF(ISBLANK(DCRLo_Sel),DCR_Lo,DCRLo_Sel)/1000*(1+TCR_DCRLo/100*(BF14-25))+BI14/1000))/(AU$2-AT14*BG14/1000) )</f>
        <v>32.143869424649516</v>
      </c>
      <c r="AV14" s="169">
        <f t="shared" ref="AV14:AV21" ca="1" si="94">IF( (AU$2-AT14*(IF(ISBLANK(DCRLo_Sel),DCR_Lo,DCRLo_Sel)/1000*(1+TCR_DCRLo/100*(BF14-25))+BI14/1000)-(Vout_typ)) / (IF(ISBLANK(Lo_sel),Lo_Ridley,Lo_sel)/1000000) * AU14/100 / (IF(ISBLANK(Fsw_Sel),Fsw_Recom,Fsw_Sel)*1000000) &lt; 0, 0, (AU$2-AT14*(IF(ISBLANK(DCRLo_Sel),DCR_Lo,DCRLo_Sel)/1000*(1+TCR_DCRLo/100*(BF14-25))+BI14/1000)-(Vout_typ)) / (IF(ISBLANK(Lo_sel),Lo_Ridley,Lo_sel)/1000000) * AU14/100 / (IF(ISBLANK(Fsw_Sel),Fsw_Recom,Fsw_Sel)*1000000) )</f>
        <v>0.39759696749046891</v>
      </c>
      <c r="AW14" s="169">
        <f t="shared" ref="AW14:AW21" ca="1" si="95">(IQ/1000+IF(ISBLANK(Fsw_Sel),Fsw_Recom,Fsw_Sel)*1000000*(BH14+BJ14)/1000000000)*IF(BL14&lt;3.3,AU$2,Vout)</f>
        <v>2.6883157683128437E-2</v>
      </c>
      <c r="AX14" s="169">
        <f ca="1">AU14/100*(AT14^2+AV14^2/12)*BG14/1000</f>
        <v>6.4880845179798273E-3</v>
      </c>
      <c r="AY14" s="169">
        <f t="shared" ref="AY14:AY21" si="96">AU$2*AT14*(AU$2/(SR_rise*1000000000)*IF(ISBLANK(Fsw_Sel),Fsw_Recom,Fsw_Sel)*1000000/2+AU$2/(SR_fall*1000000000)*IF(ISBLANK(Fsw_Sel),Fsw_Recom,Fsw_Sel)*1000000/2)</f>
        <v>3.4133333333333338E-3</v>
      </c>
      <c r="AZ14" s="169">
        <f ca="1">(1-AU14/100)*(AT14^2+AV14^2/12)*BI14/1000</f>
        <v>5.7068465168760218E-3</v>
      </c>
      <c r="BA14" s="169">
        <f t="shared" ref="BA14:BA21" si="97">IF(Sync?="yes",2*AT14*tnonOverlap/1000000000*VSD_LS*IF(ISBLANK(Fsw_Sel),Fsw_Recom,Fsw_Sel)*1000000,0)</f>
        <v>4.8000000000000001E-4</v>
      </c>
      <c r="BB14" s="169">
        <f ca="1">SUM(AW14:BA14)</f>
        <v>4.2971422051317619E-2</v>
      </c>
      <c r="BC14" s="169">
        <f t="shared" ref="BC14:BC21" ca="1" si="98">AT14^2*IF(ISBLANK(DCRLo_Sel),DCR_Lo,DCRLo_Sel)/1000*(1+(BF14-25)*(TCR_DCRLo/100))</f>
        <v>4.2766214449507409E-4</v>
      </c>
      <c r="BD14" s="169">
        <f t="shared" ref="BD14:BD21" si="99">0.5*Csnub/1000000000000*AU$2^2*Fsw_Sel*1000000</f>
        <v>0</v>
      </c>
      <c r="BE14" s="169">
        <f ca="1">BF14-$A14</f>
        <v>1.4610283497447938</v>
      </c>
      <c r="BF14" s="26">
        <f ca="1">IF(Reset,150,BB14*Rth_typ+$A14)</f>
        <v>81.461028349744794</v>
      </c>
      <c r="BG14" s="26">
        <f t="shared" ref="BG14:BG21" ca="1" si="100">RdsHS_max+RdsHS_max*TCR_Rds/100*(BF14-25)</f>
        <v>871.01293607877506</v>
      </c>
      <c r="BH14" s="169">
        <f t="shared" ref="BH14:BH21" si="101">1/(0.0072*RdsHS_typ-0.0047)</f>
        <v>0.27814090618307236</v>
      </c>
      <c r="BI14" s="26">
        <f t="shared" ref="BI14:BI21" ca="1" si="102">IF(Sync?="yes",RdsLS_max+RdsLS_max*TCR_Rds/100*(BF14-25),0)</f>
        <v>362.92205669948959</v>
      </c>
      <c r="BJ14" s="169">
        <f t="shared" ref="BJ14:BJ21" si="103">IF(Sync?="yes",1/(0.0072*RdsLS_typ-0.0047),0)</f>
        <v>0.66343793538114504</v>
      </c>
      <c r="BK14" s="169">
        <f t="shared" ref="BK14:BK21" ca="1" si="104">(1-toffmin_typ/1000000000*Fsw_Sel*1000000) * (AU$2-AT14*BG14/1000) - (AT14*DCRLo_Sel/1000)</f>
        <v>15.368360150374789</v>
      </c>
      <c r="BL14" s="169">
        <f t="shared" ref="BL14:BL21" ca="1" si="105">IF(BK14&gt;(Vout_typ),(Vout_typ),BK14)</f>
        <v>5.0744525547445258</v>
      </c>
      <c r="BM14" s="169">
        <f ca="1">SUM(BB14:BD14)+BN14</f>
        <v>0.55084433967026536</v>
      </c>
      <c r="BN14" s="169">
        <f t="shared" ref="BN14:BN21" ca="1" si="106">BL14*AT14</f>
        <v>0.50744525547445263</v>
      </c>
      <c r="BO14" s="26">
        <f ca="1">100*BN14/BM14</f>
        <v>92.121352427476822</v>
      </c>
      <c r="BP14" s="64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</row>
    <row r="15" spans="1:165" s="65" customFormat="1" ht="12.75" customHeight="1" x14ac:dyDescent="0.25">
      <c r="A15" s="421">
        <f>Design!$D$15</f>
        <v>80</v>
      </c>
      <c r="B15" s="393">
        <f>($B$21-$B$14)/7+B14</f>
        <v>0.22857142857142859</v>
      </c>
      <c r="C15" s="28">
        <f t="shared" ca="1" si="64"/>
        <v>89.10063472065336</v>
      </c>
      <c r="D15" s="31">
        <f t="shared" ca="1" si="65"/>
        <v>8.4273978324676396E-2</v>
      </c>
      <c r="E15" s="29">
        <f t="shared" ca="1" si="66"/>
        <v>2.6883157683128437E-2</v>
      </c>
      <c r="F15" s="29">
        <f t="shared" ref="F15:F21" ca="1" si="107">C15/100*(B15^2+D15^2/12)*O15/1000</f>
        <v>4.1231618803935555E-2</v>
      </c>
      <c r="G15" s="29">
        <f t="shared" si="67"/>
        <v>1.0971428571428573E-3</v>
      </c>
      <c r="H15" s="29">
        <f t="shared" ref="H15:H21" ca="1" si="108">(1-C15/100)*(B15^2+D15^2/12)*Q15/1000</f>
        <v>2.1015491631635437E-3</v>
      </c>
      <c r="I15" s="29">
        <f t="shared" si="68"/>
        <v>1.0971428571428573E-3</v>
      </c>
      <c r="J15" s="29">
        <f t="shared" ref="J15:J21" ca="1" si="109">SUM(E15:I15)</f>
        <v>7.2410611364513239E-2</v>
      </c>
      <c r="K15" s="29">
        <f t="shared" ca="1" si="69"/>
        <v>2.2415094964855341E-3</v>
      </c>
      <c r="L15" s="29">
        <f t="shared" si="70"/>
        <v>0</v>
      </c>
      <c r="M15" s="29">
        <f t="shared" ref="M15:M21" ca="1" si="110">N15-$A15</f>
        <v>2.4619607863934476</v>
      </c>
      <c r="N15" s="28">
        <f ca="1">IF(Reset,150,J15*Rth_typ+$A15)</f>
        <v>82.461960786393448</v>
      </c>
      <c r="O15" s="30">
        <f t="shared" ca="1" si="71"/>
        <v>875.81741177468848</v>
      </c>
      <c r="P15" s="29">
        <f t="shared" si="72"/>
        <v>0.27814090618307236</v>
      </c>
      <c r="Q15" s="28">
        <f t="shared" ca="1" si="73"/>
        <v>364.92392157278687</v>
      </c>
      <c r="R15" s="29">
        <f t="shared" si="74"/>
        <v>0.66343793538114504</v>
      </c>
      <c r="S15" s="29">
        <f t="shared" ca="1" si="75"/>
        <v>5.5946195154801481</v>
      </c>
      <c r="T15" s="31">
        <f t="shared" ca="1" si="76"/>
        <v>5.0744525547445258</v>
      </c>
      <c r="U15" s="29">
        <f t="shared" ca="1" si="77"/>
        <v>1.2345269905168905</v>
      </c>
      <c r="V15" s="29">
        <f t="shared" ca="1" si="78"/>
        <v>1.1598748696558918</v>
      </c>
      <c r="W15" s="28">
        <f ca="1">100*V15/U15</f>
        <v>93.952977825965377</v>
      </c>
      <c r="X15" s="398">
        <f>($X$21-$X$14)/7+X14</f>
        <v>0.22857142857142859</v>
      </c>
      <c r="Y15" s="32">
        <f t="shared" ca="1" si="79"/>
        <v>43.793493342921892</v>
      </c>
      <c r="Z15" s="160">
        <f t="shared" ca="1" si="80"/>
        <v>0.34001617261648315</v>
      </c>
      <c r="AA15" s="160">
        <f t="shared" ca="1" si="81"/>
        <v>2.6883157683128437E-2</v>
      </c>
      <c r="AB15" s="160">
        <f t="shared" ref="AB15:AB21" ca="1" si="111">Y15/100*(X15^2+Z15^2/12)*AK15/1000</f>
        <v>2.3717710931063264E-2</v>
      </c>
      <c r="AC15" s="160">
        <f t="shared" si="82"/>
        <v>4.3885714285714292E-3</v>
      </c>
      <c r="AD15" s="160">
        <f t="shared" ref="AD15:AD21" ca="1" si="112">(1-Y15/100)*(X15^2+Z15^2/12)*AM15/1000</f>
        <v>1.2683483089017322E-2</v>
      </c>
      <c r="AE15" s="160">
        <f t="shared" si="83"/>
        <v>1.0971428571428573E-3</v>
      </c>
      <c r="AF15" s="160">
        <f t="shared" ref="AF15:AF21" ca="1" si="113">SUM(AA15:AE15)</f>
        <v>6.877006598892331E-2</v>
      </c>
      <c r="AG15" s="160">
        <f t="shared" ca="1" si="84"/>
        <v>2.2406199885118909E-3</v>
      </c>
      <c r="AH15" s="160">
        <f t="shared" si="85"/>
        <v>0</v>
      </c>
      <c r="AI15" s="160">
        <f t="shared" ref="AI15:AI21" ca="1" si="114">AJ15-$A15</f>
        <v>2.3381822436233932</v>
      </c>
      <c r="AJ15" s="32">
        <f ca="1">IF(Reset,150,AF15*Rth_typ+$A15)</f>
        <v>82.338182243623393</v>
      </c>
      <c r="AK15" s="33">
        <f t="shared" ca="1" si="86"/>
        <v>875.22327476939222</v>
      </c>
      <c r="AL15" s="160">
        <f t="shared" si="87"/>
        <v>0.27814090618307236</v>
      </c>
      <c r="AM15" s="32">
        <f t="shared" ca="1" si="88"/>
        <v>364.67636448724681</v>
      </c>
      <c r="AN15" s="160">
        <f t="shared" si="89"/>
        <v>0.66343793538114504</v>
      </c>
      <c r="AO15" s="160">
        <f t="shared" ca="1" si="90"/>
        <v>11.390750700930919</v>
      </c>
      <c r="AP15" s="47">
        <f t="shared" ca="1" si="91"/>
        <v>5.0744525547445258</v>
      </c>
      <c r="AQ15" s="160">
        <f ca="1">SUM(AF15:AH15)+AR15</f>
        <v>1.2308855556333271</v>
      </c>
      <c r="AR15" s="160">
        <f t="shared" ca="1" si="92"/>
        <v>1.1598748696558918</v>
      </c>
      <c r="AS15" s="32">
        <f ca="1">100*AR15/AQ15</f>
        <v>94.230927022220342</v>
      </c>
      <c r="AT15" s="399">
        <f>($AT$21-$AT$14)/7+AT14</f>
        <v>0.22857142857142859</v>
      </c>
      <c r="AU15" s="34">
        <f t="shared" ca="1" si="93"/>
        <v>32.706858813146241</v>
      </c>
      <c r="AV15" s="173">
        <f t="shared" ca="1" si="94"/>
        <v>0.40260497424817598</v>
      </c>
      <c r="AW15" s="173">
        <f t="shared" ca="1" si="95"/>
        <v>2.6883157683128437E-2</v>
      </c>
      <c r="AX15" s="173">
        <f t="shared" ref="AX15:AX21" ca="1" si="115">AU15/100*(AT15^2+AV15^2/12)*BG15/1000</f>
        <v>1.8829130743117223E-2</v>
      </c>
      <c r="AY15" s="173">
        <f t="shared" si="96"/>
        <v>7.8019047619047634E-3</v>
      </c>
      <c r="AZ15" s="173">
        <f t="shared" ref="AZ15:AZ21" ca="1" si="116">(1-AU15/100)*(AT15^2+AV15^2/12)*BI15/1000</f>
        <v>1.6141764035400474E-2</v>
      </c>
      <c r="BA15" s="173">
        <f t="shared" si="97"/>
        <v>1.0971428571428573E-3</v>
      </c>
      <c r="BB15" s="173">
        <f t="shared" ref="BB15:BB21" ca="1" si="117">SUM(AW15:BA15)</f>
        <v>7.0753100080693757E-2</v>
      </c>
      <c r="BC15" s="173">
        <f t="shared" ca="1" si="98"/>
        <v>2.2411045105970883E-3</v>
      </c>
      <c r="BD15" s="173">
        <f t="shared" si="99"/>
        <v>0</v>
      </c>
      <c r="BE15" s="173">
        <f t="shared" ref="BE15:BE21" ca="1" si="118">BF15-$A15</f>
        <v>2.4056054027435891</v>
      </c>
      <c r="BF15" s="34">
        <f ca="1">IF(Reset,150,BB15*Rth_typ+$A15)</f>
        <v>82.405605402743589</v>
      </c>
      <c r="BG15" s="172">
        <f t="shared" ca="1" si="100"/>
        <v>875.54690593316923</v>
      </c>
      <c r="BH15" s="173">
        <f t="shared" si="101"/>
        <v>0.27814090618307236</v>
      </c>
      <c r="BI15" s="34">
        <f t="shared" ca="1" si="102"/>
        <v>364.81121080548718</v>
      </c>
      <c r="BJ15" s="173">
        <f t="shared" si="103"/>
        <v>0.66343793538114504</v>
      </c>
      <c r="BK15" s="173">
        <f t="shared" ca="1" si="104"/>
        <v>15.254679243169956</v>
      </c>
      <c r="BL15" s="173">
        <f t="shared" ca="1" si="105"/>
        <v>5.0744525547445258</v>
      </c>
      <c r="BM15" s="173">
        <f ca="1">SUM(BB15:BD15)+BN15</f>
        <v>1.2328690742471826</v>
      </c>
      <c r="BN15" s="173">
        <f t="shared" ca="1" si="106"/>
        <v>1.1598748696558918</v>
      </c>
      <c r="BO15" s="34">
        <f ca="1">100*BN15/BM15</f>
        <v>94.07932228035952</v>
      </c>
      <c r="BP15" s="64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</row>
    <row r="16" spans="1:165" s="65" customFormat="1" ht="12.75" customHeight="1" x14ac:dyDescent="0.25">
      <c r="A16" s="421">
        <f>Design!$D$15</f>
        <v>80</v>
      </c>
      <c r="B16" s="393">
        <f t="shared" ref="B16:B20" si="119">($B$21-$B$14)/7+B15</f>
        <v>0.35714285714285721</v>
      </c>
      <c r="C16" s="28">
        <f t="shared" ca="1" si="64"/>
        <v>91.879186844481254</v>
      </c>
      <c r="D16" s="31">
        <f t="shared" ca="1" si="65"/>
        <v>8.1248250322755983E-2</v>
      </c>
      <c r="E16" s="29">
        <f t="shared" ca="1" si="66"/>
        <v>2.6883157683128437E-2</v>
      </c>
      <c r="F16" s="29">
        <f t="shared" ca="1" si="107"/>
        <v>0.1043517915086042</v>
      </c>
      <c r="G16" s="29">
        <f t="shared" si="67"/>
        <v>1.7142857142857148E-3</v>
      </c>
      <c r="H16" s="29">
        <f t="shared" ca="1" si="108"/>
        <v>3.843005828219676E-3</v>
      </c>
      <c r="I16" s="29">
        <f t="shared" si="68"/>
        <v>1.7142857142857144E-3</v>
      </c>
      <c r="J16" s="29">
        <f t="shared" ca="1" si="109"/>
        <v>0.13850652644852376</v>
      </c>
      <c r="K16" s="29">
        <f t="shared" ca="1" si="69"/>
        <v>5.5118626877859473E-3</v>
      </c>
      <c r="L16" s="29">
        <f t="shared" si="70"/>
        <v>0</v>
      </c>
      <c r="M16" s="29">
        <f t="shared" ca="1" si="110"/>
        <v>4.7092218992498118</v>
      </c>
      <c r="N16" s="28">
        <f ca="1">IF(Reset,150,J16*Rth_typ+$A16)</f>
        <v>84.709221899249812</v>
      </c>
      <c r="O16" s="30">
        <f t="shared" ca="1" si="71"/>
        <v>886.60426511639912</v>
      </c>
      <c r="P16" s="29">
        <f t="shared" si="72"/>
        <v>0.27814090618307236</v>
      </c>
      <c r="Q16" s="28">
        <f t="shared" ca="1" si="73"/>
        <v>369.41844379849965</v>
      </c>
      <c r="R16" s="29">
        <f t="shared" si="74"/>
        <v>0.66343793538114504</v>
      </c>
      <c r="S16" s="29">
        <f t="shared" ca="1" si="75"/>
        <v>5.4776215285348426</v>
      </c>
      <c r="T16" s="31">
        <f t="shared" ca="1" si="76"/>
        <v>5.0744525547445258</v>
      </c>
      <c r="U16" s="29">
        <f t="shared" ca="1" si="77"/>
        <v>1.9563228729736406</v>
      </c>
      <c r="V16" s="29">
        <f t="shared" ca="1" si="78"/>
        <v>1.812304483837331</v>
      </c>
      <c r="W16" s="28">
        <f t="shared" ref="W16:W21" ca="1" si="120">100*V16/U16</f>
        <v>92.638311848933228</v>
      </c>
      <c r="X16" s="398">
        <f t="shared" ref="X16:X20" si="121">($X$21-$X$14)/7+X15</f>
        <v>0.35714285714285721</v>
      </c>
      <c r="Y16" s="32">
        <f t="shared" ca="1" si="79"/>
        <v>44.685254026663991</v>
      </c>
      <c r="Z16" s="160">
        <f t="shared" ca="1" si="80"/>
        <v>0.34421457598331529</v>
      </c>
      <c r="AA16" s="160">
        <f t="shared" ca="1" si="81"/>
        <v>2.6883157683128437E-2</v>
      </c>
      <c r="AB16" s="160">
        <f t="shared" ca="1" si="111"/>
        <v>5.4236216769885263E-2</v>
      </c>
      <c r="AC16" s="160">
        <f t="shared" si="82"/>
        <v>6.8571428571428594E-3</v>
      </c>
      <c r="AD16" s="160">
        <f t="shared" ca="1" si="112"/>
        <v>2.7974017179795224E-2</v>
      </c>
      <c r="AE16" s="160">
        <f t="shared" si="83"/>
        <v>1.7142857142857144E-3</v>
      </c>
      <c r="AF16" s="160">
        <f t="shared" ca="1" si="113"/>
        <v>0.11766482020423749</v>
      </c>
      <c r="AG16" s="160">
        <f t="shared" ca="1" si="84"/>
        <v>5.4994302378379043E-3</v>
      </c>
      <c r="AH16" s="160">
        <f t="shared" si="85"/>
        <v>0</v>
      </c>
      <c r="AI16" s="160">
        <f t="shared" ca="1" si="114"/>
        <v>4.0006038869440772</v>
      </c>
      <c r="AJ16" s="32">
        <f ca="1">IF(Reset,150,AF16*Rth_typ+$A16)</f>
        <v>84.000603886944077</v>
      </c>
      <c r="AK16" s="33">
        <f t="shared" ca="1" si="86"/>
        <v>883.20289865733162</v>
      </c>
      <c r="AL16" s="160">
        <f t="shared" si="87"/>
        <v>0.27814090618307236</v>
      </c>
      <c r="AM16" s="32">
        <f t="shared" ca="1" si="88"/>
        <v>368.00120777388815</v>
      </c>
      <c r="AN16" s="160">
        <f t="shared" si="89"/>
        <v>0.66343793538114504</v>
      </c>
      <c r="AO16" s="160">
        <f t="shared" ca="1" si="90"/>
        <v>11.274794999963222</v>
      </c>
      <c r="AP16" s="47">
        <f t="shared" ca="1" si="91"/>
        <v>5.0744525547445258</v>
      </c>
      <c r="AQ16" s="160">
        <f t="shared" ref="AQ16:AQ21" ca="1" si="122">SUM(AF16:AH16)+AR16</f>
        <v>1.9354687342794064</v>
      </c>
      <c r="AR16" s="160">
        <f t="shared" ca="1" si="92"/>
        <v>1.812304483837331</v>
      </c>
      <c r="AS16" s="32">
        <f t="shared" ref="AS16:AS21" ca="1" si="123">100*AR16/AQ16</f>
        <v>93.636463960347527</v>
      </c>
      <c r="AT16" s="399">
        <f t="shared" ref="AT16:AT20" si="124">($AT$21-$AT$14)/7+AT15</f>
        <v>0.35714285714285721</v>
      </c>
      <c r="AU16" s="34">
        <f t="shared" ca="1" si="93"/>
        <v>33.289103872583389</v>
      </c>
      <c r="AV16" s="173">
        <f t="shared" ca="1" si="94"/>
        <v>0.40774368851308335</v>
      </c>
      <c r="AW16" s="173">
        <f t="shared" ca="1" si="95"/>
        <v>2.6883157683128437E-2</v>
      </c>
      <c r="AX16" s="173">
        <f t="shared" ca="1" si="115"/>
        <v>4.1570127884028009E-2</v>
      </c>
      <c r="AY16" s="173">
        <f t="shared" si="96"/>
        <v>1.2190476190476193E-2</v>
      </c>
      <c r="AZ16" s="173">
        <f t="shared" ca="1" si="116"/>
        <v>3.4710813257512366E-2</v>
      </c>
      <c r="BA16" s="173">
        <f t="shared" si="97"/>
        <v>1.7142857142857144E-3</v>
      </c>
      <c r="BB16" s="173">
        <f t="shared" ca="1" si="117"/>
        <v>0.11706886072943072</v>
      </c>
      <c r="BC16" s="173">
        <f t="shared" ca="1" si="98"/>
        <v>5.4990747373690491E-3</v>
      </c>
      <c r="BD16" s="173">
        <f t="shared" si="99"/>
        <v>0</v>
      </c>
      <c r="BE16" s="173">
        <f t="shared" ca="1" si="118"/>
        <v>3.9803412648006429</v>
      </c>
      <c r="BF16" s="34">
        <f ca="1">IF(Reset,150,BB16*Rth_typ+$A16)</f>
        <v>83.980341264800643</v>
      </c>
      <c r="BG16" s="172">
        <f t="shared" ca="1" si="100"/>
        <v>883.10563807104313</v>
      </c>
      <c r="BH16" s="173">
        <f t="shared" si="101"/>
        <v>0.27814090618307236</v>
      </c>
      <c r="BI16" s="34">
        <f t="shared" ca="1" si="102"/>
        <v>367.96068252960129</v>
      </c>
      <c r="BJ16" s="173">
        <f t="shared" si="103"/>
        <v>0.66343793538114504</v>
      </c>
      <c r="BK16" s="173">
        <f t="shared" ca="1" si="104"/>
        <v>15.138828554865491</v>
      </c>
      <c r="BL16" s="173">
        <f t="shared" ca="1" si="105"/>
        <v>5.0744525547445258</v>
      </c>
      <c r="BM16" s="173">
        <f t="shared" ref="BM16:BM21" ca="1" si="125">SUM(BB16:BD16)+BN16</f>
        <v>1.9348724193041307</v>
      </c>
      <c r="BN16" s="173">
        <f t="shared" ca="1" si="106"/>
        <v>1.812304483837331</v>
      </c>
      <c r="BO16" s="34">
        <f t="shared" ref="BO16:BO21" ca="1" si="126">100*BN16/BM16</f>
        <v>93.66532210372398</v>
      </c>
      <c r="BP16" s="64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</row>
    <row r="17" spans="1:165" s="65" customFormat="1" ht="12.75" customHeight="1" x14ac:dyDescent="0.25">
      <c r="A17" s="421">
        <f>Design!$D$15</f>
        <v>80</v>
      </c>
      <c r="B17" s="393">
        <f t="shared" si="119"/>
        <v>0.48571428571428577</v>
      </c>
      <c r="C17" s="28">
        <f t="shared" ca="1" si="64"/>
        <v>94.911150194180181</v>
      </c>
      <c r="D17" s="31">
        <f t="shared" ca="1" si="65"/>
        <v>7.7826068640698368E-2</v>
      </c>
      <c r="E17" s="29">
        <f t="shared" ca="1" si="66"/>
        <v>2.6883157683128437E-2</v>
      </c>
      <c r="F17" s="29">
        <f t="shared" ca="1" si="107"/>
        <v>0.20261553197965426</v>
      </c>
      <c r="G17" s="29">
        <f t="shared" si="67"/>
        <v>2.331428571428572E-3</v>
      </c>
      <c r="H17" s="29">
        <f t="shared" ca="1" si="108"/>
        <v>4.5265142208495346E-3</v>
      </c>
      <c r="I17" s="29">
        <f t="shared" si="68"/>
        <v>2.3314285714285715E-3</v>
      </c>
      <c r="J17" s="29">
        <f t="shared" ca="1" si="109"/>
        <v>0.23868806102648937</v>
      </c>
      <c r="K17" s="29">
        <f t="shared" ca="1" si="69"/>
        <v>1.0305273460812859E-2</v>
      </c>
      <c r="L17" s="29">
        <f t="shared" si="70"/>
        <v>0</v>
      </c>
      <c r="M17" s="29">
        <f t="shared" ca="1" si="110"/>
        <v>8.1153940749006352</v>
      </c>
      <c r="N17" s="28">
        <f ca="1">IF(Reset,150,J17*Rth_typ+$A17)</f>
        <v>88.115394074900635</v>
      </c>
      <c r="O17" s="30">
        <f t="shared" ca="1" si="71"/>
        <v>902.95389155952307</v>
      </c>
      <c r="P17" s="29">
        <f t="shared" si="72"/>
        <v>0.27814090618307236</v>
      </c>
      <c r="Q17" s="28">
        <f t="shared" ca="1" si="73"/>
        <v>376.23078814980124</v>
      </c>
      <c r="R17" s="29">
        <f t="shared" si="74"/>
        <v>0.66343793538114504</v>
      </c>
      <c r="S17" s="29">
        <f t="shared" ca="1" si="75"/>
        <v>5.3553340340802711</v>
      </c>
      <c r="T17" s="31">
        <f t="shared" ca="1" si="76"/>
        <v>5.0744525547445258</v>
      </c>
      <c r="U17" s="29">
        <f t="shared" ca="1" si="77"/>
        <v>2.7137274325060723</v>
      </c>
      <c r="V17" s="29">
        <f t="shared" ca="1" si="78"/>
        <v>2.46473409801877</v>
      </c>
      <c r="W17" s="28">
        <f t="shared" ca="1" si="120"/>
        <v>90.824674154641897</v>
      </c>
      <c r="X17" s="398">
        <f t="shared" si="121"/>
        <v>0.48571428571428577</v>
      </c>
      <c r="Y17" s="32">
        <f t="shared" ca="1" si="79"/>
        <v>45.62457469880713</v>
      </c>
      <c r="Z17" s="160">
        <f t="shared" ca="1" si="80"/>
        <v>0.34857945263158113</v>
      </c>
      <c r="AA17" s="160">
        <f t="shared" ca="1" si="81"/>
        <v>2.6883157683128437E-2</v>
      </c>
      <c r="AB17" s="160">
        <f t="shared" ca="1" si="111"/>
        <v>0.10044982526179477</v>
      </c>
      <c r="AC17" s="160">
        <f t="shared" si="82"/>
        <v>9.3257142857142879E-3</v>
      </c>
      <c r="AD17" s="160">
        <f t="shared" ca="1" si="112"/>
        <v>4.9881761511369992E-2</v>
      </c>
      <c r="AE17" s="160">
        <f t="shared" si="83"/>
        <v>2.3314285714285715E-3</v>
      </c>
      <c r="AF17" s="160">
        <f t="shared" ca="1" si="113"/>
        <v>0.18887188731343607</v>
      </c>
      <c r="AG17" s="160">
        <f t="shared" ca="1" si="84"/>
        <v>1.0250310308498158E-2</v>
      </c>
      <c r="AH17" s="160">
        <f t="shared" si="85"/>
        <v>0</v>
      </c>
      <c r="AI17" s="160">
        <f t="shared" ca="1" si="114"/>
        <v>6.421644168656826</v>
      </c>
      <c r="AJ17" s="32">
        <f ca="1">IF(Reset,150,AF17*Rth_typ+$A17)</f>
        <v>86.421644168656826</v>
      </c>
      <c r="AK17" s="33">
        <f t="shared" ca="1" si="86"/>
        <v>894.82389200955276</v>
      </c>
      <c r="AL17" s="160">
        <f t="shared" si="87"/>
        <v>0.27814090618307236</v>
      </c>
      <c r="AM17" s="32">
        <f t="shared" ca="1" si="88"/>
        <v>372.84328833731365</v>
      </c>
      <c r="AN17" s="160">
        <f t="shared" si="89"/>
        <v>0.66343793538114504</v>
      </c>
      <c r="AO17" s="160">
        <f t="shared" ca="1" si="90"/>
        <v>11.155148629869117</v>
      </c>
      <c r="AP17" s="47">
        <f t="shared" ca="1" si="91"/>
        <v>5.0744525547445258</v>
      </c>
      <c r="AQ17" s="160">
        <f t="shared" ca="1" si="122"/>
        <v>2.6638562956407044</v>
      </c>
      <c r="AR17" s="160">
        <f t="shared" ca="1" si="92"/>
        <v>2.46473409801877</v>
      </c>
      <c r="AS17" s="32">
        <f t="shared" ca="1" si="123"/>
        <v>92.525039809850469</v>
      </c>
      <c r="AT17" s="399">
        <f t="shared" si="124"/>
        <v>0.48571428571428577</v>
      </c>
      <c r="AU17" s="34">
        <f t="shared" ca="1" si="93"/>
        <v>33.897662875163256</v>
      </c>
      <c r="AV17" s="173">
        <f t="shared" ca="1" si="94"/>
        <v>0.41307190317881204</v>
      </c>
      <c r="AW17" s="173">
        <f t="shared" ca="1" si="95"/>
        <v>2.6883157683128437E-2</v>
      </c>
      <c r="AX17" s="173">
        <f t="shared" ca="1" si="115"/>
        <v>7.5793897042698705E-2</v>
      </c>
      <c r="AY17" s="173">
        <f t="shared" si="96"/>
        <v>1.6579047619047622E-2</v>
      </c>
      <c r="AZ17" s="173">
        <f t="shared" ca="1" si="116"/>
        <v>6.1584306376971584E-2</v>
      </c>
      <c r="BA17" s="173">
        <f t="shared" si="97"/>
        <v>2.3314285714285715E-3</v>
      </c>
      <c r="BB17" s="173">
        <f t="shared" ca="1" si="117"/>
        <v>0.18317183729327491</v>
      </c>
      <c r="BC17" s="173">
        <f t="shared" ca="1" si="98"/>
        <v>1.0244021332567084E-2</v>
      </c>
      <c r="BD17" s="173">
        <f t="shared" si="99"/>
        <v>0</v>
      </c>
      <c r="BE17" s="173">
        <f t="shared" ca="1" si="118"/>
        <v>6.2278424679713424</v>
      </c>
      <c r="BF17" s="34">
        <f ca="1">IF(Reset,150,BB17*Rth_typ+$A17)</f>
        <v>86.227842467971342</v>
      </c>
      <c r="BG17" s="172">
        <f t="shared" ca="1" si="100"/>
        <v>893.89364384626242</v>
      </c>
      <c r="BH17" s="173">
        <f t="shared" si="101"/>
        <v>0.27814090618307236</v>
      </c>
      <c r="BI17" s="34">
        <f t="shared" ca="1" si="102"/>
        <v>372.45568493594271</v>
      </c>
      <c r="BJ17" s="173">
        <f t="shared" si="103"/>
        <v>0.66343793538114504</v>
      </c>
      <c r="BK17" s="173">
        <f t="shared" ca="1" si="104"/>
        <v>15.019585102307333</v>
      </c>
      <c r="BL17" s="173">
        <f t="shared" ca="1" si="105"/>
        <v>5.0744525547445258</v>
      </c>
      <c r="BM17" s="173">
        <f t="shared" ca="1" si="125"/>
        <v>2.6581499566446118</v>
      </c>
      <c r="BN17" s="173">
        <f t="shared" ca="1" si="106"/>
        <v>2.46473409801877</v>
      </c>
      <c r="BO17" s="34">
        <f t="shared" ca="1" si="126"/>
        <v>92.723666392772245</v>
      </c>
      <c r="BP17" s="64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</row>
    <row r="18" spans="1:165" s="65" customFormat="1" ht="12.75" customHeight="1" x14ac:dyDescent="0.25">
      <c r="A18" s="421">
        <f>Design!$D$15</f>
        <v>80</v>
      </c>
      <c r="B18" s="393">
        <f t="shared" si="119"/>
        <v>0.61428571428571432</v>
      </c>
      <c r="C18" s="28">
        <f t="shared" ca="1" si="64"/>
        <v>95.8</v>
      </c>
      <c r="D18" s="31">
        <f t="shared" ca="1" si="65"/>
        <v>7.2021536032716188E-2</v>
      </c>
      <c r="E18" s="29">
        <f t="shared" ca="1" si="66"/>
        <v>2.6883157683128437E-2</v>
      </c>
      <c r="F18" s="29">
        <f t="shared" ca="1" si="107"/>
        <v>0.33476213081928419</v>
      </c>
      <c r="G18" s="29">
        <f t="shared" si="67"/>
        <v>2.9485714285714293E-3</v>
      </c>
      <c r="H18" s="29">
        <f t="shared" ca="1" si="108"/>
        <v>6.1151746235255525E-3</v>
      </c>
      <c r="I18" s="29">
        <f t="shared" si="68"/>
        <v>2.9485714285714289E-3</v>
      </c>
      <c r="J18" s="29">
        <f t="shared" ca="1" si="109"/>
        <v>0.37365760598308101</v>
      </c>
      <c r="K18" s="29">
        <f t="shared" ca="1" si="69"/>
        <v>1.6721274722120632E-2</v>
      </c>
      <c r="L18" s="29">
        <f t="shared" si="70"/>
        <v>0</v>
      </c>
      <c r="M18" s="29">
        <f t="shared" ca="1" si="110"/>
        <v>12.704358603424751</v>
      </c>
      <c r="N18" s="28">
        <f ca="1">IF(Reset,150,J18*Rth_typ+$A18)</f>
        <v>92.704358603424751</v>
      </c>
      <c r="O18" s="30">
        <f t="shared" ca="1" si="71"/>
        <v>924.98092129643874</v>
      </c>
      <c r="P18" s="29">
        <f t="shared" si="72"/>
        <v>0.27814090618307236</v>
      </c>
      <c r="Q18" s="28">
        <f t="shared" ca="1" si="73"/>
        <v>385.40871720684947</v>
      </c>
      <c r="R18" s="29">
        <f t="shared" si="74"/>
        <v>0.66343793538114504</v>
      </c>
      <c r="S18" s="29">
        <f t="shared" ca="1" si="75"/>
        <v>5.2256163213026934</v>
      </c>
      <c r="T18" s="31">
        <f t="shared" ca="1" si="76"/>
        <v>5.0744525547445258</v>
      </c>
      <c r="U18" s="29">
        <f t="shared" ca="1" si="77"/>
        <v>3.5075425929054105</v>
      </c>
      <c r="V18" s="29">
        <f t="shared" ca="1" si="78"/>
        <v>3.1171637122002087</v>
      </c>
      <c r="W18" s="28">
        <f t="shared" ca="1" si="120"/>
        <v>88.870302487707249</v>
      </c>
      <c r="X18" s="398">
        <f t="shared" si="121"/>
        <v>0.61428571428571432</v>
      </c>
      <c r="Y18" s="32">
        <f t="shared" ca="1" si="79"/>
        <v>46.626948465491175</v>
      </c>
      <c r="Z18" s="160">
        <f t="shared" ca="1" si="80"/>
        <v>0.35317504435597574</v>
      </c>
      <c r="AA18" s="160">
        <f t="shared" ca="1" si="81"/>
        <v>2.6883157683128437E-2</v>
      </c>
      <c r="AB18" s="160">
        <f t="shared" ca="1" si="111"/>
        <v>0.16460557739777631</v>
      </c>
      <c r="AC18" s="160">
        <f t="shared" si="82"/>
        <v>1.1794285714285717E-2</v>
      </c>
      <c r="AD18" s="160">
        <f t="shared" ca="1" si="112"/>
        <v>7.8508801012191529E-2</v>
      </c>
      <c r="AE18" s="160">
        <f t="shared" si="83"/>
        <v>2.9485714285714289E-3</v>
      </c>
      <c r="AF18" s="160">
        <f t="shared" ca="1" si="113"/>
        <v>0.2847403932359534</v>
      </c>
      <c r="AG18" s="160">
        <f t="shared" ca="1" si="84"/>
        <v>1.6564359099824313E-2</v>
      </c>
      <c r="AH18" s="160">
        <f t="shared" si="85"/>
        <v>0</v>
      </c>
      <c r="AI18" s="160">
        <f t="shared" ca="1" si="114"/>
        <v>9.681173370022421</v>
      </c>
      <c r="AJ18" s="32">
        <f ca="1">IF(Reset,150,AF18*Rth_typ+$A18)</f>
        <v>89.681173370022421</v>
      </c>
      <c r="AK18" s="33">
        <f t="shared" ca="1" si="86"/>
        <v>910.46963217610755</v>
      </c>
      <c r="AL18" s="160">
        <f t="shared" si="87"/>
        <v>0.27814090618307236</v>
      </c>
      <c r="AM18" s="32">
        <f t="shared" ca="1" si="88"/>
        <v>379.36234674004481</v>
      </c>
      <c r="AN18" s="160">
        <f t="shared" si="89"/>
        <v>0.66343793538114504</v>
      </c>
      <c r="AO18" s="160">
        <f t="shared" ca="1" si="90"/>
        <v>11.030227320266698</v>
      </c>
      <c r="AP18" s="47">
        <f t="shared" ca="1" si="91"/>
        <v>5.0744525547445258</v>
      </c>
      <c r="AQ18" s="160">
        <f t="shared" ca="1" si="122"/>
        <v>3.4184684645359864</v>
      </c>
      <c r="AR18" s="160">
        <f t="shared" ca="1" si="92"/>
        <v>3.1171637122002087</v>
      </c>
      <c r="AS18" s="32">
        <f t="shared" ca="1" si="123"/>
        <v>91.185972447556978</v>
      </c>
      <c r="AT18" s="399">
        <f t="shared" si="124"/>
        <v>0.61428571428571432</v>
      </c>
      <c r="AU18" s="34">
        <f t="shared" ca="1" si="93"/>
        <v>34.540851222741466</v>
      </c>
      <c r="AV18" s="173">
        <f t="shared" ca="1" si="94"/>
        <v>0.41865731965388259</v>
      </c>
      <c r="AW18" s="173">
        <f t="shared" ca="1" si="95"/>
        <v>2.6883157683128437E-2</v>
      </c>
      <c r="AX18" s="173">
        <f t="shared" ca="1" si="115"/>
        <v>0.12295596254728502</v>
      </c>
      <c r="AY18" s="173">
        <f t="shared" si="96"/>
        <v>2.0967619047619051E-2</v>
      </c>
      <c r="AZ18" s="173">
        <f t="shared" ca="1" si="116"/>
        <v>9.7090261247608126E-2</v>
      </c>
      <c r="BA18" s="173">
        <f t="shared" si="97"/>
        <v>2.9485714285714289E-3</v>
      </c>
      <c r="BB18" s="173">
        <f t="shared" ca="1" si="117"/>
        <v>0.27084557195421205</v>
      </c>
      <c r="BC18" s="173">
        <f t="shared" ca="1" si="98"/>
        <v>1.6539838374750291E-2</v>
      </c>
      <c r="BD18" s="173">
        <f t="shared" si="99"/>
        <v>0</v>
      </c>
      <c r="BE18" s="173">
        <f t="shared" ca="1" si="118"/>
        <v>9.2087494464432069</v>
      </c>
      <c r="BF18" s="34">
        <f ca="1">IF(Reset,150,BB18*Rth_typ+$A18)</f>
        <v>89.208749446443207</v>
      </c>
      <c r="BG18" s="172">
        <f t="shared" ca="1" si="100"/>
        <v>908.20199734292737</v>
      </c>
      <c r="BH18" s="173">
        <f t="shared" si="101"/>
        <v>0.27814090618307236</v>
      </c>
      <c r="BI18" s="34">
        <f t="shared" ca="1" si="102"/>
        <v>378.41749889288644</v>
      </c>
      <c r="BJ18" s="173">
        <f t="shared" si="103"/>
        <v>0.66343793538114504</v>
      </c>
      <c r="BK18" s="173">
        <f t="shared" ca="1" si="104"/>
        <v>14.895572934776707</v>
      </c>
      <c r="BL18" s="173">
        <f t="shared" ca="1" si="105"/>
        <v>5.0744525547445258</v>
      </c>
      <c r="BM18" s="173">
        <f t="shared" ca="1" si="125"/>
        <v>3.4045491225291711</v>
      </c>
      <c r="BN18" s="173">
        <f t="shared" ca="1" si="106"/>
        <v>3.1171637122002087</v>
      </c>
      <c r="BO18" s="34">
        <f t="shared" ca="1" si="126"/>
        <v>91.558782088728691</v>
      </c>
      <c r="BP18" s="64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</row>
    <row r="19" spans="1:165" s="65" customFormat="1" ht="12.75" customHeight="1" x14ac:dyDescent="0.25">
      <c r="A19" s="421">
        <f>Design!$D$15</f>
        <v>80</v>
      </c>
      <c r="B19" s="393">
        <f t="shared" si="119"/>
        <v>0.74285714285714288</v>
      </c>
      <c r="C19" s="28">
        <f t="shared" ca="1" si="64"/>
        <v>95.8</v>
      </c>
      <c r="D19" s="29">
        <f t="shared" ca="1" si="65"/>
        <v>6.4984789934275505E-2</v>
      </c>
      <c r="E19" s="29">
        <f t="shared" ca="1" si="66"/>
        <v>2.6883157683128437E-2</v>
      </c>
      <c r="F19" s="29">
        <f t="shared" ca="1" si="107"/>
        <v>0.50432455842408219</v>
      </c>
      <c r="G19" s="29">
        <f t="shared" si="67"/>
        <v>3.5657142857142866E-3</v>
      </c>
      <c r="H19" s="29">
        <f t="shared" ca="1" si="108"/>
        <v>9.2126093657843924E-3</v>
      </c>
      <c r="I19" s="29">
        <f t="shared" si="68"/>
        <v>3.5657142857142853E-3</v>
      </c>
      <c r="J19" s="29">
        <f t="shared" ca="1" si="109"/>
        <v>0.54755175404442358</v>
      </c>
      <c r="K19" s="29">
        <f t="shared" ca="1" si="69"/>
        <v>2.4902176371250896E-2</v>
      </c>
      <c r="L19" s="29">
        <f t="shared" si="70"/>
        <v>0</v>
      </c>
      <c r="M19" s="29">
        <f t="shared" ca="1" si="110"/>
        <v>18.616759637510398</v>
      </c>
      <c r="N19" s="28">
        <f ca="1">IF(Reset,150,J19*Rth_typ+$A19)</f>
        <v>98.616759637510398</v>
      </c>
      <c r="O19" s="30">
        <f t="shared" ca="1" si="71"/>
        <v>953.36044626004991</v>
      </c>
      <c r="P19" s="29">
        <f t="shared" si="72"/>
        <v>0.27814090618307236</v>
      </c>
      <c r="Q19" s="28">
        <f t="shared" ca="1" si="73"/>
        <v>397.2335192750208</v>
      </c>
      <c r="R19" s="29">
        <f t="shared" si="74"/>
        <v>0.66343793538114504</v>
      </c>
      <c r="S19" s="29">
        <f t="shared" ca="1" si="75"/>
        <v>5.0858685437637883</v>
      </c>
      <c r="T19" s="31">
        <f t="shared" ca="1" si="76"/>
        <v>5.0744525547445258</v>
      </c>
      <c r="U19" s="29">
        <f t="shared" ca="1" si="77"/>
        <v>4.3420472567973221</v>
      </c>
      <c r="V19" s="29">
        <f t="shared" ca="1" si="78"/>
        <v>3.7695933263816479</v>
      </c>
      <c r="W19" s="28">
        <f t="shared" ca="1" si="120"/>
        <v>86.816036386533611</v>
      </c>
      <c r="X19" s="398">
        <f t="shared" si="121"/>
        <v>0.74285714285714288</v>
      </c>
      <c r="Y19" s="32">
        <f t="shared" ca="1" si="79"/>
        <v>47.711819790433331</v>
      </c>
      <c r="Z19" s="160">
        <f t="shared" ca="1" si="80"/>
        <v>0.35807947211537916</v>
      </c>
      <c r="AA19" s="160">
        <f t="shared" ca="1" si="81"/>
        <v>2.6883157683128437E-2</v>
      </c>
      <c r="AB19" s="160">
        <f t="shared" ca="1" si="111"/>
        <v>0.24978359114967488</v>
      </c>
      <c r="AC19" s="160">
        <f t="shared" si="82"/>
        <v>1.4262857142857147E-2</v>
      </c>
      <c r="AD19" s="160">
        <f t="shared" ca="1" si="112"/>
        <v>0.11405917063453498</v>
      </c>
      <c r="AE19" s="160">
        <f t="shared" si="83"/>
        <v>3.5657142857142853E-3</v>
      </c>
      <c r="AF19" s="160">
        <f t="shared" ca="1" si="113"/>
        <v>0.40855449089590973</v>
      </c>
      <c r="AG19" s="160">
        <f t="shared" ca="1" si="84"/>
        <v>2.4543455729305542E-2</v>
      </c>
      <c r="AH19" s="160">
        <f t="shared" si="85"/>
        <v>0</v>
      </c>
      <c r="AI19" s="160">
        <f t="shared" ca="1" si="114"/>
        <v>13.890852690460932</v>
      </c>
      <c r="AJ19" s="32">
        <f ca="1">IF(Reset,150,AF19*Rth_typ+$A19)</f>
        <v>93.890852690460932</v>
      </c>
      <c r="AK19" s="33">
        <f t="shared" ca="1" si="86"/>
        <v>930.6760929142124</v>
      </c>
      <c r="AL19" s="160">
        <f t="shared" si="87"/>
        <v>0.27814090618307236</v>
      </c>
      <c r="AM19" s="32">
        <f t="shared" ca="1" si="88"/>
        <v>387.78170538092184</v>
      </c>
      <c r="AN19" s="160">
        <f t="shared" si="89"/>
        <v>0.66343793538114504</v>
      </c>
      <c r="AO19" s="160">
        <f t="shared" ca="1" si="90"/>
        <v>10.898146835724761</v>
      </c>
      <c r="AP19" s="47">
        <f t="shared" ca="1" si="91"/>
        <v>5.0744525547445258</v>
      </c>
      <c r="AQ19" s="160">
        <f t="shared" ca="1" si="122"/>
        <v>4.2026912730068631</v>
      </c>
      <c r="AR19" s="160">
        <f t="shared" ca="1" si="92"/>
        <v>3.7695933263816479</v>
      </c>
      <c r="AS19" s="32">
        <f t="shared" ca="1" si="123"/>
        <v>89.694747520310941</v>
      </c>
      <c r="AT19" s="399">
        <f t="shared" si="124"/>
        <v>0.74285714285714288</v>
      </c>
      <c r="AU19" s="34">
        <f t="shared" ca="1" si="93"/>
        <v>35.228749665114876</v>
      </c>
      <c r="AV19" s="173">
        <f t="shared" ca="1" si="94"/>
        <v>0.42458034396079908</v>
      </c>
      <c r="AW19" s="173">
        <f t="shared" ca="1" si="95"/>
        <v>2.6883157683128437E-2</v>
      </c>
      <c r="AX19" s="173">
        <f t="shared" ca="1" si="115"/>
        <v>0.18500574204635797</v>
      </c>
      <c r="AY19" s="173">
        <f t="shared" si="96"/>
        <v>2.5356190476190477E-2</v>
      </c>
      <c r="AZ19" s="173">
        <f t="shared" ca="1" si="116"/>
        <v>0.14172909609086981</v>
      </c>
      <c r="BA19" s="173">
        <f t="shared" si="97"/>
        <v>3.5657142857142853E-3</v>
      </c>
      <c r="BB19" s="173">
        <f t="shared" ca="1" si="117"/>
        <v>0.38253990058226095</v>
      </c>
      <c r="BC19" s="173">
        <f t="shared" ca="1" si="98"/>
        <v>2.4476317928705204E-2</v>
      </c>
      <c r="BD19" s="173">
        <f t="shared" si="99"/>
        <v>0</v>
      </c>
      <c r="BE19" s="173">
        <f t="shared" ca="1" si="118"/>
        <v>13.006356619796875</v>
      </c>
      <c r="BF19" s="34">
        <f ca="1">IF(Reset,150,BB19*Rth_typ+$A19)</f>
        <v>93.006356619796875</v>
      </c>
      <c r="BG19" s="172">
        <f t="shared" ca="1" si="100"/>
        <v>926.43051177502502</v>
      </c>
      <c r="BH19" s="173">
        <f t="shared" si="101"/>
        <v>0.27814090618307236</v>
      </c>
      <c r="BI19" s="34">
        <f t="shared" ca="1" si="102"/>
        <v>386.01271323959372</v>
      </c>
      <c r="BJ19" s="173">
        <f t="shared" si="103"/>
        <v>0.66343793538114504</v>
      </c>
      <c r="BK19" s="173">
        <f t="shared" ca="1" si="104"/>
        <v>14.765193464750242</v>
      </c>
      <c r="BL19" s="173">
        <f t="shared" ca="1" si="105"/>
        <v>5.0744525547445258</v>
      </c>
      <c r="BM19" s="173">
        <f t="shared" ca="1" si="125"/>
        <v>4.1766095448926137</v>
      </c>
      <c r="BN19" s="173">
        <f t="shared" ca="1" si="106"/>
        <v>3.7695933263816479</v>
      </c>
      <c r="BO19" s="34">
        <f t="shared" ca="1" si="126"/>
        <v>90.254865480334701</v>
      </c>
      <c r="BP19" s="64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</row>
    <row r="20" spans="1:165" s="65" customFormat="1" ht="12.75" customHeight="1" x14ac:dyDescent="0.25">
      <c r="A20" s="421">
        <f>Design!$D$15</f>
        <v>80</v>
      </c>
      <c r="B20" s="393">
        <f t="shared" si="119"/>
        <v>0.87142857142857144</v>
      </c>
      <c r="C20" s="28">
        <f t="shared" ca="1" si="64"/>
        <v>95.8</v>
      </c>
      <c r="D20" s="31">
        <f t="shared" ca="1" si="65"/>
        <v>5.7270175120700317E-2</v>
      </c>
      <c r="E20" s="29">
        <f t="shared" ca="1" si="66"/>
        <v>2.6883157683128437E-2</v>
      </c>
      <c r="F20" s="29">
        <f t="shared" ca="1" si="107"/>
        <v>0.72004931783365123</v>
      </c>
      <c r="G20" s="29">
        <f t="shared" si="67"/>
        <v>4.1828571428571435E-3</v>
      </c>
      <c r="H20" s="29">
        <f t="shared" ca="1" si="108"/>
        <v>1.3153301734957105E-2</v>
      </c>
      <c r="I20" s="29">
        <f t="shared" si="68"/>
        <v>4.1828571428571435E-3</v>
      </c>
      <c r="J20" s="29">
        <f t="shared" ca="1" si="109"/>
        <v>0.76845149153745107</v>
      </c>
      <c r="K20" s="29">
        <f t="shared" ca="1" si="69"/>
        <v>3.5052630335438935E-2</v>
      </c>
      <c r="L20" s="29">
        <f t="shared" si="70"/>
        <v>0</v>
      </c>
      <c r="M20" s="29">
        <f t="shared" ca="1" si="110"/>
        <v>26.127350712273341</v>
      </c>
      <c r="N20" s="28">
        <f ca="1">IF(Reset,150,J20*Rth_typ+$A20)</f>
        <v>106.12735071227334</v>
      </c>
      <c r="O20" s="30">
        <f t="shared" ca="1" si="71"/>
        <v>989.41128341891203</v>
      </c>
      <c r="P20" s="29">
        <f t="shared" si="72"/>
        <v>0.27814090618307236</v>
      </c>
      <c r="Q20" s="28">
        <f t="shared" ca="1" si="73"/>
        <v>412.25470142454668</v>
      </c>
      <c r="R20" s="29">
        <f t="shared" si="74"/>
        <v>0.66343793538114504</v>
      </c>
      <c r="S20" s="29">
        <f t="shared" ca="1" si="75"/>
        <v>4.9326135816179599</v>
      </c>
      <c r="T20" s="31">
        <f t="shared" ca="1" si="76"/>
        <v>4.9326135816179599</v>
      </c>
      <c r="U20" s="29">
        <f t="shared" ca="1" si="77"/>
        <v>5.1019245287113977</v>
      </c>
      <c r="V20" s="29">
        <f t="shared" ca="1" si="78"/>
        <v>4.2984204068385079</v>
      </c>
      <c r="W20" s="28">
        <f t="shared" ca="1" si="120"/>
        <v>84.250960253309898</v>
      </c>
      <c r="X20" s="398">
        <f t="shared" si="121"/>
        <v>0.87142857142857144</v>
      </c>
      <c r="Y20" s="32">
        <f t="shared" ca="1" si="79"/>
        <v>48.904418336215954</v>
      </c>
      <c r="Z20" s="160">
        <f t="shared" ca="1" si="80"/>
        <v>0.36339125729003252</v>
      </c>
      <c r="AA20" s="160">
        <f t="shared" ca="1" si="81"/>
        <v>2.6883157683128437E-2</v>
      </c>
      <c r="AB20" s="160">
        <f t="shared" ca="1" si="111"/>
        <v>0.36024930580801851</v>
      </c>
      <c r="AC20" s="160">
        <f t="shared" si="82"/>
        <v>1.6731428571428574E-2</v>
      </c>
      <c r="AD20" s="160">
        <f t="shared" ca="1" si="112"/>
        <v>0.15682928429975646</v>
      </c>
      <c r="AE20" s="160">
        <f t="shared" si="83"/>
        <v>4.1828571428571435E-3</v>
      </c>
      <c r="AF20" s="160">
        <f t="shared" ca="1" si="113"/>
        <v>0.56487603350518911</v>
      </c>
      <c r="AG20" s="160">
        <f t="shared" ca="1" si="84"/>
        <v>3.4329646608259295E-2</v>
      </c>
      <c r="AH20" s="160">
        <f t="shared" si="85"/>
        <v>0</v>
      </c>
      <c r="AI20" s="160">
        <f t="shared" ca="1" si="114"/>
        <v>19.205785139176427</v>
      </c>
      <c r="AJ20" s="32">
        <f ca="1">IF(Reset,150,AF20*Rth_typ+$A20)</f>
        <v>99.205785139176427</v>
      </c>
      <c r="AK20" s="33">
        <f t="shared" ca="1" si="86"/>
        <v>956.18776866804683</v>
      </c>
      <c r="AL20" s="160">
        <f t="shared" si="87"/>
        <v>0.27814090618307236</v>
      </c>
      <c r="AM20" s="32">
        <f t="shared" ca="1" si="88"/>
        <v>398.41157027835288</v>
      </c>
      <c r="AN20" s="160">
        <f t="shared" si="89"/>
        <v>0.66343793538114504</v>
      </c>
      <c r="AO20" s="160">
        <f t="shared" ca="1" si="90"/>
        <v>10.756581136335237</v>
      </c>
      <c r="AP20" s="47">
        <f t="shared" ca="1" si="91"/>
        <v>5.0744525547445258</v>
      </c>
      <c r="AQ20" s="160">
        <f t="shared" ca="1" si="122"/>
        <v>5.0212286206765357</v>
      </c>
      <c r="AR20" s="160">
        <f t="shared" ca="1" si="92"/>
        <v>4.4220229405630871</v>
      </c>
      <c r="AS20" s="32">
        <f t="shared" ca="1" si="123"/>
        <v>88.066552523698576</v>
      </c>
      <c r="AT20" s="399">
        <f t="shared" si="124"/>
        <v>0.87142857142857144</v>
      </c>
      <c r="AU20" s="34">
        <f t="shared" ca="1" si="93"/>
        <v>35.973932629637282</v>
      </c>
      <c r="AV20" s="173">
        <f t="shared" ca="1" si="94"/>
        <v>0.43093942280377784</v>
      </c>
      <c r="AW20" s="173">
        <f t="shared" ca="1" si="95"/>
        <v>2.6883157683128437E-2</v>
      </c>
      <c r="AX20" s="173">
        <f t="shared" ca="1" si="115"/>
        <v>0.26456637693253743</v>
      </c>
      <c r="AY20" s="173">
        <f t="shared" si="96"/>
        <v>2.9744761904761906E-2</v>
      </c>
      <c r="AZ20" s="173">
        <f t="shared" ca="1" si="116"/>
        <v>0.19619698018341419</v>
      </c>
      <c r="BA20" s="173">
        <f t="shared" si="97"/>
        <v>4.1828571428571435E-3</v>
      </c>
      <c r="BB20" s="173">
        <f t="shared" ca="1" si="117"/>
        <v>0.52157413384669915</v>
      </c>
      <c r="BC20" s="173">
        <f t="shared" ca="1" si="98"/>
        <v>3.4175862998429014E-2</v>
      </c>
      <c r="BD20" s="173">
        <f t="shared" si="99"/>
        <v>0</v>
      </c>
      <c r="BE20" s="173">
        <f t="shared" ca="1" si="118"/>
        <v>17.733520550787773</v>
      </c>
      <c r="BF20" s="34">
        <f ca="1">IF(Reset,150,BB20*Rth_typ+$A20)</f>
        <v>97.733520550787773</v>
      </c>
      <c r="BG20" s="172">
        <f t="shared" ca="1" si="100"/>
        <v>949.12089864378129</v>
      </c>
      <c r="BH20" s="173">
        <f t="shared" si="101"/>
        <v>0.27814090618307236</v>
      </c>
      <c r="BI20" s="34">
        <f t="shared" ca="1" si="102"/>
        <v>395.46704110157555</v>
      </c>
      <c r="BJ20" s="173">
        <f t="shared" si="103"/>
        <v>0.66343793538114504</v>
      </c>
      <c r="BK20" s="173">
        <f t="shared" ca="1" si="104"/>
        <v>14.626530027521664</v>
      </c>
      <c r="BL20" s="173">
        <f t="shared" ca="1" si="105"/>
        <v>5.0744525547445258</v>
      </c>
      <c r="BM20" s="173">
        <f t="shared" ca="1" si="125"/>
        <v>4.9777729374082149</v>
      </c>
      <c r="BN20" s="173">
        <f t="shared" ca="1" si="106"/>
        <v>4.4220229405630871</v>
      </c>
      <c r="BO20" s="34">
        <f t="shared" ca="1" si="126"/>
        <v>88.835368671225666</v>
      </c>
      <c r="BP20" s="64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</row>
    <row r="21" spans="1:165" s="66" customFormat="1" ht="12.75" customHeight="1" thickBot="1" x14ac:dyDescent="0.3">
      <c r="A21" s="422">
        <f>Design!$D$15</f>
        <v>80</v>
      </c>
      <c r="B21" s="423">
        <f>Iout</f>
        <v>1</v>
      </c>
      <c r="C21" s="35">
        <f t="shared" ca="1" si="64"/>
        <v>95.8</v>
      </c>
      <c r="D21" s="36">
        <f t="shared" ca="1" si="65"/>
        <v>4.8657579956836873E-2</v>
      </c>
      <c r="E21" s="36">
        <f t="shared" ca="1" si="66"/>
        <v>2.6883157683128437E-2</v>
      </c>
      <c r="F21" s="36">
        <f t="shared" ca="1" si="107"/>
        <v>0.99145235391030551</v>
      </c>
      <c r="G21" s="36">
        <f t="shared" si="67"/>
        <v>4.8000000000000004E-3</v>
      </c>
      <c r="H21" s="36">
        <f t="shared" ca="1" si="108"/>
        <v>1.8111081621534825E-2</v>
      </c>
      <c r="I21" s="36">
        <f t="shared" si="68"/>
        <v>4.7999999999999996E-3</v>
      </c>
      <c r="J21" s="36">
        <f t="shared" ca="1" si="109"/>
        <v>1.0460465932149687</v>
      </c>
      <c r="K21" s="36">
        <f t="shared" ca="1" si="69"/>
        <v>4.7457296102488451E-2</v>
      </c>
      <c r="L21" s="36">
        <f t="shared" si="70"/>
        <v>0</v>
      </c>
      <c r="M21" s="36">
        <f t="shared" ca="1" si="110"/>
        <v>35.565584169308934</v>
      </c>
      <c r="N21" s="35">
        <f ca="1">IF(Reset,150,J21*Rth_typ+$A21)</f>
        <v>115.56558416930893</v>
      </c>
      <c r="O21" s="35">
        <f t="shared" ca="1" si="71"/>
        <v>1034.7148040126829</v>
      </c>
      <c r="P21" s="36">
        <f t="shared" si="72"/>
        <v>0.27814090618307236</v>
      </c>
      <c r="Q21" s="35">
        <f t="shared" ca="1" si="73"/>
        <v>431.13116833861784</v>
      </c>
      <c r="R21" s="36">
        <f t="shared" si="74"/>
        <v>0.66343793538114504</v>
      </c>
      <c r="S21" s="36">
        <f t="shared" ca="1" si="75"/>
        <v>4.761465499323748</v>
      </c>
      <c r="T21" s="36">
        <f t="shared" ca="1" si="76"/>
        <v>4.761465499323748</v>
      </c>
      <c r="U21" s="36">
        <f t="shared" ca="1" si="77"/>
        <v>5.8549693886412051</v>
      </c>
      <c r="V21" s="36">
        <f t="shared" ca="1" si="78"/>
        <v>4.761465499323748</v>
      </c>
      <c r="W21" s="35">
        <f t="shared" ca="1" si="120"/>
        <v>81.323490923131317</v>
      </c>
      <c r="X21" s="424">
        <f>Iout</f>
        <v>1</v>
      </c>
      <c r="Y21" s="37">
        <f t="shared" ca="1" si="79"/>
        <v>50.238671441586447</v>
      </c>
      <c r="Z21" s="161">
        <f t="shared" ca="1" si="80"/>
        <v>0.36923945873451902</v>
      </c>
      <c r="AA21" s="161">
        <f t="shared" ca="1" si="81"/>
        <v>2.6883157683128437E-2</v>
      </c>
      <c r="AB21" s="161">
        <f t="shared" ca="1" si="111"/>
        <v>0.50202137653626522</v>
      </c>
      <c r="AC21" s="161">
        <f t="shared" si="82"/>
        <v>1.9200000000000002E-2</v>
      </c>
      <c r="AD21" s="161">
        <f t="shared" ca="1" si="112"/>
        <v>0.2071880912347768</v>
      </c>
      <c r="AE21" s="161">
        <f t="shared" si="83"/>
        <v>4.7999999999999996E-3</v>
      </c>
      <c r="AF21" s="161">
        <f t="shared" ca="1" si="113"/>
        <v>0.76009262545417045</v>
      </c>
      <c r="AG21" s="161">
        <f t="shared" ca="1" si="84"/>
        <v>4.611997518146152E-2</v>
      </c>
      <c r="AH21" s="161">
        <f t="shared" si="85"/>
        <v>0</v>
      </c>
      <c r="AI21" s="161">
        <f t="shared" ca="1" si="114"/>
        <v>25.843149265441795</v>
      </c>
      <c r="AJ21" s="37">
        <f ca="1">IF(Reset,150,AF21*Rth_typ+$A21)</f>
        <v>105.8431492654418</v>
      </c>
      <c r="AK21" s="425">
        <f t="shared" ca="1" si="86"/>
        <v>988.04711647412068</v>
      </c>
      <c r="AL21" s="161">
        <f t="shared" si="87"/>
        <v>0.27814090618307236</v>
      </c>
      <c r="AM21" s="425">
        <f t="shared" ca="1" si="88"/>
        <v>411.68629853088362</v>
      </c>
      <c r="AN21" s="161">
        <f t="shared" si="89"/>
        <v>0.66343793538114504</v>
      </c>
      <c r="AO21" s="161">
        <f t="shared" ca="1" si="90"/>
        <v>10.602546485485998</v>
      </c>
      <c r="AP21" s="407">
        <f t="shared" ca="1" si="91"/>
        <v>5.0744525547445258</v>
      </c>
      <c r="AQ21" s="161">
        <f t="shared" ca="1" si="122"/>
        <v>5.8806651553801581</v>
      </c>
      <c r="AR21" s="161">
        <f t="shared" ca="1" si="92"/>
        <v>5.0744525547445258</v>
      </c>
      <c r="AS21" s="37">
        <f t="shared" ca="1" si="123"/>
        <v>86.290452196584653</v>
      </c>
      <c r="AT21" s="426">
        <f>Iout</f>
        <v>1</v>
      </c>
      <c r="AU21" s="38">
        <f t="shared" ca="1" si="93"/>
        <v>36.792551627621421</v>
      </c>
      <c r="AV21" s="176">
        <f t="shared" ca="1" si="94"/>
        <v>0.43785885694836657</v>
      </c>
      <c r="AW21" s="176">
        <f t="shared" ca="1" si="95"/>
        <v>2.6883157683128437E-2</v>
      </c>
      <c r="AX21" s="176">
        <f t="shared" ca="1" si="115"/>
        <v>0.36520890176611542</v>
      </c>
      <c r="AY21" s="176">
        <f t="shared" si="96"/>
        <v>3.4133333333333335E-2</v>
      </c>
      <c r="AZ21" s="176">
        <f t="shared" ca="1" si="116"/>
        <v>0.26141979130662923</v>
      </c>
      <c r="BA21" s="176">
        <f t="shared" si="97"/>
        <v>4.7999999999999996E-3</v>
      </c>
      <c r="BB21" s="176">
        <f t="shared" ca="1" si="117"/>
        <v>0.69244518408920641</v>
      </c>
      <c r="BC21" s="176">
        <f t="shared" ca="1" si="98"/>
        <v>4.5803608392429994E-2</v>
      </c>
      <c r="BD21" s="176">
        <f t="shared" si="99"/>
        <v>0</v>
      </c>
      <c r="BE21" s="176">
        <f t="shared" ca="1" si="118"/>
        <v>23.54313625903302</v>
      </c>
      <c r="BF21" s="38">
        <f ca="1">IF(Reset,150,BB21*Rth_typ+$A21)</f>
        <v>103.54313625903302</v>
      </c>
      <c r="BG21" s="38">
        <f t="shared" ca="1" si="100"/>
        <v>977.00705404335849</v>
      </c>
      <c r="BH21" s="176">
        <f t="shared" si="101"/>
        <v>0.27814090618307236</v>
      </c>
      <c r="BI21" s="38">
        <f t="shared" ca="1" si="102"/>
        <v>407.08627251806604</v>
      </c>
      <c r="BJ21" s="176">
        <f t="shared" si="103"/>
        <v>0.66343793538114504</v>
      </c>
      <c r="BK21" s="176">
        <f t="shared" ca="1" si="104"/>
        <v>14.477211185794115</v>
      </c>
      <c r="BL21" s="176">
        <f t="shared" ca="1" si="105"/>
        <v>5.0744525547445258</v>
      </c>
      <c r="BM21" s="176">
        <f t="shared" ca="1" si="125"/>
        <v>5.8127013472261622</v>
      </c>
      <c r="BN21" s="176">
        <f t="shared" ca="1" si="106"/>
        <v>5.0744525547445258</v>
      </c>
      <c r="BO21" s="38">
        <f t="shared" ca="1" si="126"/>
        <v>87.299385459844231</v>
      </c>
      <c r="BP21" s="64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</row>
    <row r="22" spans="1:165" x14ac:dyDescent="0.25">
      <c r="A22" s="39"/>
      <c r="F22" s="14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</row>
    <row r="24" spans="1:165" x14ac:dyDescent="0.25">
      <c r="F24" s="15"/>
    </row>
    <row r="26" spans="1:165" x14ac:dyDescent="0.25">
      <c r="BC26" s="44"/>
    </row>
    <row r="34" spans="32:32" x14ac:dyDescent="0.25">
      <c r="AF34" s="45"/>
    </row>
    <row r="71" spans="2:56" ht="15.75" thickBot="1" x14ac:dyDescent="0.3"/>
    <row r="72" spans="2:56" x14ac:dyDescent="0.25">
      <c r="B72" s="67"/>
      <c r="C72" s="68"/>
      <c r="D72" s="68"/>
      <c r="E72" s="68"/>
      <c r="G72" s="69">
        <v>0</v>
      </c>
      <c r="H72" s="70">
        <v>150</v>
      </c>
      <c r="I72" s="71"/>
    </row>
    <row r="73" spans="2:56" ht="15.75" thickBot="1" x14ac:dyDescent="0.3">
      <c r="B73" s="72"/>
      <c r="C73" s="73"/>
      <c r="D73" s="73"/>
      <c r="E73" s="74"/>
      <c r="G73" s="75">
        <v>3.5</v>
      </c>
      <c r="H73" s="76">
        <v>150</v>
      </c>
      <c r="I73" s="71"/>
    </row>
    <row r="74" spans="2:56" x14ac:dyDescent="0.25">
      <c r="AV74" s="44"/>
    </row>
    <row r="76" spans="2:56" x14ac:dyDescent="0.25">
      <c r="BD76" s="45"/>
    </row>
    <row r="78" spans="2:56" x14ac:dyDescent="0.25">
      <c r="N78" s="77"/>
    </row>
    <row r="80" spans="2:56" x14ac:dyDescent="0.25">
      <c r="G80" s="191"/>
    </row>
    <row r="81" spans="7:53" x14ac:dyDescent="0.25">
      <c r="G81" s="191"/>
    </row>
    <row r="83" spans="7:53" x14ac:dyDescent="0.25">
      <c r="BA83" s="44"/>
    </row>
    <row r="84" spans="7:53" x14ac:dyDescent="0.25">
      <c r="K84" s="77"/>
    </row>
  </sheetData>
  <sheetProtection algorithmName="SHA-512" hashValue="IyPtTptaVp300kRJKI6gzbZwGe02cNxBt6gdHw6+Q+4TRH1S6lQs4Xbm/tVZ4MX9xh7JD3azIVOdzJM9ar6AgA==" saltValue="GTJoHMUJQAWUf+ixqbG08w==" spinCount="100000" sheet="1" objects="1" scenarios="1" selectLockedCells="1" selectUnlockedCells="1"/>
  <mergeCells count="7">
    <mergeCell ref="A1:BO1"/>
    <mergeCell ref="O2:P2"/>
    <mergeCell ref="Q2:R2"/>
    <mergeCell ref="AK2:AL2"/>
    <mergeCell ref="AM2:AN2"/>
    <mergeCell ref="BG2:BH2"/>
    <mergeCell ref="BI2:BJ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94"/>
  <sheetViews>
    <sheetView zoomScale="90" zoomScaleNormal="90" workbookViewId="0">
      <selection sqref="A1:AX1"/>
    </sheetView>
  </sheetViews>
  <sheetFormatPr defaultRowHeight="15" x14ac:dyDescent="0.25"/>
  <cols>
    <col min="1" max="5" width="6.7109375" style="153" customWidth="1"/>
    <col min="6" max="6" width="9" style="153" bestFit="1" customWidth="1"/>
    <col min="7" max="7" width="7.7109375" style="40" customWidth="1"/>
    <col min="8" max="16" width="6.7109375" style="40" customWidth="1"/>
    <col min="17" max="17" width="7.42578125" style="40" bestFit="1" customWidth="1"/>
    <col min="18" max="20" width="6.7109375" style="41" customWidth="1"/>
    <col min="21" max="21" width="6.7109375" style="153" customWidth="1"/>
    <col min="22" max="32" width="6.7109375" style="41" customWidth="1"/>
    <col min="33" max="33" width="7.42578125" style="40" bestFit="1" customWidth="1"/>
    <col min="34" max="36" width="6.7109375" style="41" customWidth="1"/>
    <col min="37" max="37" width="6.7109375" style="153" customWidth="1"/>
    <col min="38" max="48" width="6.7109375" style="41" customWidth="1"/>
    <col min="49" max="49" width="7.42578125" style="40" bestFit="1" customWidth="1"/>
    <col min="50" max="50" width="6.7109375" style="41" customWidth="1"/>
    <col min="51" max="16384" width="9.140625" style="41"/>
  </cols>
  <sheetData>
    <row r="1" spans="1:50" s="43" customFormat="1" ht="24" customHeight="1" thickBot="1" x14ac:dyDescent="0.3">
      <c r="A1" s="203" t="s">
        <v>281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</row>
    <row r="2" spans="1:50" s="43" customFormat="1" ht="18" customHeight="1" x14ac:dyDescent="0.25">
      <c r="A2" s="78" t="s">
        <v>282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</row>
    <row r="3" spans="1:50" s="379" customFormat="1" ht="18" customHeight="1" x14ac:dyDescent="0.2">
      <c r="A3" s="81"/>
      <c r="B3" s="82"/>
      <c r="C3" s="83"/>
      <c r="D3" s="83"/>
      <c r="E3" s="83"/>
      <c r="F3" s="83"/>
      <c r="G3" s="83"/>
      <c r="H3" s="83" t="s">
        <v>223</v>
      </c>
      <c r="I3" s="83" t="s">
        <v>223</v>
      </c>
      <c r="J3" s="83" t="s">
        <v>224</v>
      </c>
      <c r="K3" s="83"/>
      <c r="L3" s="83"/>
      <c r="M3" s="83"/>
      <c r="N3" s="83"/>
      <c r="O3" s="83" t="s">
        <v>223</v>
      </c>
      <c r="P3" s="83" t="s">
        <v>224</v>
      </c>
      <c r="Q3" s="83"/>
      <c r="R3" s="83"/>
      <c r="S3" s="82"/>
      <c r="T3" s="83"/>
      <c r="U3" s="83"/>
      <c r="V3" s="83"/>
      <c r="W3" s="83"/>
      <c r="X3" s="83" t="s">
        <v>223</v>
      </c>
      <c r="Y3" s="83" t="s">
        <v>223</v>
      </c>
      <c r="Z3" s="83" t="s">
        <v>224</v>
      </c>
      <c r="AA3" s="83"/>
      <c r="AB3" s="83"/>
      <c r="AC3" s="83"/>
      <c r="AD3" s="83"/>
      <c r="AE3" s="83" t="s">
        <v>223</v>
      </c>
      <c r="AF3" s="83" t="s">
        <v>224</v>
      </c>
      <c r="AG3" s="83"/>
      <c r="AH3" s="83"/>
      <c r="AI3" s="82"/>
      <c r="AJ3" s="83"/>
      <c r="AK3" s="83"/>
      <c r="AL3" s="83"/>
      <c r="AM3" s="83"/>
      <c r="AN3" s="83" t="s">
        <v>223</v>
      </c>
      <c r="AO3" s="83" t="s">
        <v>223</v>
      </c>
      <c r="AP3" s="83" t="s">
        <v>224</v>
      </c>
      <c r="AQ3" s="83"/>
      <c r="AR3" s="83"/>
      <c r="AS3" s="83"/>
      <c r="AT3" s="83"/>
      <c r="AU3" s="83" t="s">
        <v>223</v>
      </c>
      <c r="AV3" s="83" t="s">
        <v>224</v>
      </c>
      <c r="AW3" s="83"/>
      <c r="AX3" s="83"/>
    </row>
    <row r="4" spans="1:50" s="56" customFormat="1" thickBot="1" x14ac:dyDescent="0.3">
      <c r="A4" s="18" t="s">
        <v>266</v>
      </c>
      <c r="B4" s="84" t="s">
        <v>7</v>
      </c>
      <c r="C4" s="19" t="s">
        <v>222</v>
      </c>
      <c r="D4" s="13" t="s">
        <v>267</v>
      </c>
      <c r="E4" s="13" t="s">
        <v>319</v>
      </c>
      <c r="F4" s="13" t="s">
        <v>268</v>
      </c>
      <c r="G4" s="13" t="s">
        <v>225</v>
      </c>
      <c r="H4" s="13" t="s">
        <v>226</v>
      </c>
      <c r="I4" s="13" t="s">
        <v>227</v>
      </c>
      <c r="J4" s="13" t="s">
        <v>227</v>
      </c>
      <c r="K4" s="13" t="s">
        <v>228</v>
      </c>
      <c r="L4" s="13" t="s">
        <v>283</v>
      </c>
      <c r="M4" s="13" t="s">
        <v>229</v>
      </c>
      <c r="N4" s="13" t="s">
        <v>272</v>
      </c>
      <c r="O4" s="13" t="s">
        <v>273</v>
      </c>
      <c r="P4" s="13" t="s">
        <v>273</v>
      </c>
      <c r="Q4" s="13" t="s">
        <v>276</v>
      </c>
      <c r="R4" s="84" t="s">
        <v>284</v>
      </c>
      <c r="S4" s="19" t="s">
        <v>222</v>
      </c>
      <c r="T4" s="13" t="s">
        <v>267</v>
      </c>
      <c r="U4" s="13" t="s">
        <v>319</v>
      </c>
      <c r="V4" s="13" t="s">
        <v>268</v>
      </c>
      <c r="W4" s="13" t="s">
        <v>225</v>
      </c>
      <c r="X4" s="13" t="s">
        <v>226</v>
      </c>
      <c r="Y4" s="13" t="s">
        <v>227</v>
      </c>
      <c r="Z4" s="13" t="s">
        <v>227</v>
      </c>
      <c r="AA4" s="13" t="s">
        <v>228</v>
      </c>
      <c r="AB4" s="13" t="s">
        <v>283</v>
      </c>
      <c r="AC4" s="13" t="s">
        <v>229</v>
      </c>
      <c r="AD4" s="13" t="s">
        <v>272</v>
      </c>
      <c r="AE4" s="13" t="s">
        <v>273</v>
      </c>
      <c r="AF4" s="13" t="s">
        <v>273</v>
      </c>
      <c r="AG4" s="13" t="s">
        <v>276</v>
      </c>
      <c r="AH4" s="48" t="s">
        <v>284</v>
      </c>
      <c r="AI4" s="19" t="s">
        <v>222</v>
      </c>
      <c r="AJ4" s="13" t="s">
        <v>267</v>
      </c>
      <c r="AK4" s="13" t="s">
        <v>319</v>
      </c>
      <c r="AL4" s="13" t="s">
        <v>268</v>
      </c>
      <c r="AM4" s="13" t="s">
        <v>225</v>
      </c>
      <c r="AN4" s="13" t="s">
        <v>226</v>
      </c>
      <c r="AO4" s="13" t="s">
        <v>227</v>
      </c>
      <c r="AP4" s="13" t="s">
        <v>227</v>
      </c>
      <c r="AQ4" s="13" t="s">
        <v>228</v>
      </c>
      <c r="AR4" s="13" t="s">
        <v>283</v>
      </c>
      <c r="AS4" s="13" t="s">
        <v>229</v>
      </c>
      <c r="AT4" s="13" t="s">
        <v>272</v>
      </c>
      <c r="AU4" s="13" t="s">
        <v>273</v>
      </c>
      <c r="AV4" s="13" t="s">
        <v>273</v>
      </c>
      <c r="AW4" s="13" t="s">
        <v>276</v>
      </c>
      <c r="AX4" s="48" t="s">
        <v>284</v>
      </c>
    </row>
    <row r="5" spans="1:50" s="58" customFormat="1" ht="12.75" customHeight="1" x14ac:dyDescent="0.2">
      <c r="A5" s="20">
        <v>25</v>
      </c>
      <c r="B5" s="85">
        <f t="shared" ref="B5:B44" si="0">$B6+$AX$90</f>
        <v>11.999999999999991</v>
      </c>
      <c r="C5" s="86">
        <f t="shared" ref="C5:C45" si="1">Iout</f>
        <v>1</v>
      </c>
      <c r="D5" s="87">
        <f t="shared" ref="D5:D45" ca="1" si="2">IF( 100*((Vout_typ)+C5*(IF(ISBLANK(DCRLo_Sel),DCR_Lo,DCRLo_Sel)/1000*(1+TCR_DCRLo/100*(N5-25))+P5/1000))/($B5-C5*O5/1000) &gt; ChosenmaxDuty_max, ChosenmaxDuty_max, 100*((Vout_typ)+C5*(IF(ISBLANK(DCRLo_Sel),DCR_Lo,DCRLo_Sel)/1000*(1+TCR_DCRLo/100*(N5-25))+P5/1000))/($B5-C5*O5/1000) )</f>
        <v>48.122766790690889</v>
      </c>
      <c r="E5" s="155">
        <f t="shared" ref="E5:E45" ca="1" si="3">ROUNDDOWN((1-D5/100)/Fsw_Sel*1000-2*tnonOverlap,0)</f>
        <v>1276</v>
      </c>
      <c r="F5" s="88">
        <f t="shared" ref="F5:F45" ca="1" si="4">IF(($B5-C5*IF(ISBLANK(DCRLo_Sel),DCR_Lo,DCRLo_Sel)/1000*(1+TCR_DCRLo/100*(N5-25))-(Vout_typ))/(IF(ISBLANK(Lo_sel),Lo_Ridley,Lo_sel)/1000000)*D5/100/(IF(ISBLANK(Fsw_Sel),Fsw_Recom,Fsw_Sel)*1000000)&lt;0, 0, ($B5-C5*IF(ISBLANK(DCRLo_Sel),DCR_Lo,DCRLo_Sel)/1000*(1+TCR_DCRLo/100*(N5-25))-(Vout_typ))/(IF(ISBLANK(Lo_sel),Lo_Ridley,Lo_sel)/1000000)*D5/100/(IF(ISBLANK(Fsw_Sel),Fsw_Recom,Fsw_Sel)*1000000))</f>
        <v>0.37659530630777094</v>
      </c>
      <c r="G5" s="22">
        <f>$B5*IQ/1000+IF(ISBLANK(Fsw_Sel),Fsw_Recom,Fsw_Sel)*1000000*(QgHS+QgLS)/1000000000*$B5</f>
        <v>6.378596913375835E-2</v>
      </c>
      <c r="H5" s="22">
        <f>$B5*C5*($B5/(SR_rise*1000000000)*IF(ISBLANK(Fsw_Sel),Fsw_Recom,Fsw_Sel)*1000000/2+$B5/(SR_fall*1000000000)*IF(ISBLANK(Fsw_Sel),Fsw_Recom,Fsw_Sel)*1000000/2)</f>
        <v>1.9199999999999971E-2</v>
      </c>
      <c r="I5" s="22">
        <f ca="1">IF(Reset,1,D5/100*(C5^2+F5^2/12)*O5/1000)</f>
        <v>0.3586491045722468</v>
      </c>
      <c r="J5" s="22">
        <f ca="1">IF(Reset,1,(1-D5/100)*(C5^2+F5^2/12)*O5/1000)</f>
        <v>0.38663037225456287</v>
      </c>
      <c r="K5" s="22">
        <f t="shared" ref="K5:K45" si="5">2*C5*tnonOverlap/1000000000*VSD_LS*IF(ISBLANK(Fsw_Sel),Fsw_Recom,Fsw_Sel)*1000000</f>
        <v>4.7999999999999996E-3</v>
      </c>
      <c r="L5" s="22">
        <f t="shared" ref="L5:L45" si="6">(QgHS+QgLS)/1000000000*$B5*IF(ISBLANK(Fsw_Sel),Fsw_Recom,Fsw_Sel)*1000000</f>
        <v>3.7859691337583908E-3</v>
      </c>
      <c r="M5" s="22">
        <f ca="1">SUM(G5:L5)</f>
        <v>0.83685141509432648</v>
      </c>
      <c r="N5" s="21">
        <f ca="1">IF(Reset=1,150,M5*Rth_typ+$A5)</f>
        <v>53.4529481132071</v>
      </c>
      <c r="O5" s="21">
        <f t="shared" ref="O5:O45" ca="1" si="7">RdsHS_max+RdsHS_max*TCR_Rds/100*(N5-25)</f>
        <v>736.5741509433941</v>
      </c>
      <c r="P5" s="21">
        <f t="shared" ref="P5:P45" ca="1" si="8">RdsLS_max+RdsLS_max*TCR_Rds/100*(N5-25)</f>
        <v>306.9058962264142</v>
      </c>
      <c r="Q5" s="22">
        <f t="shared" ref="Q5:Q45" ca="1" si="9">IF(E5&gt;toffmin_typ,(1-toffmin_typ/1000000000*Fsw_Sel*1000000) * ($B5+C5*P5/1000-C5*O5/1000) - (C5*P5/1000+C5*(1+($A5-25)*TCR_DCRLo/100)*IF(ISBLANK(DCRLo_Sel),DCR_Lo/1000,DCRLo_Sel/1000)),(1-toffmin_typ/1000000000*Fsw_Sel/4*1000000) * ($B5+C5*P5/1000-C5*O5/1000) - (C5*P5/1000+C5*(1+($A5-25)*TCR_DCRLo/100)*IF(ISBLANK(DCRLo_Sel),DCR_Lo/1000,DCRLo_Sel/1000)))</f>
        <v>10.835034569716974</v>
      </c>
      <c r="R5" s="88">
        <f t="shared" ref="R5:R45" ca="1" si="10">IF(Q5&gt;(Vout_typ),(Vout_typ),Q5)</f>
        <v>5.0744525547445258</v>
      </c>
      <c r="S5" s="89">
        <f t="shared" ref="S5:S45" si="11">2*Iout/3</f>
        <v>0.66666666666666663</v>
      </c>
      <c r="T5" s="90">
        <f t="shared" ref="T5:T45" ca="1" si="12">IF( 100*((Vout_typ)+S5*(IF(ISBLANK(DCRLo_Sel),DCR_Lo,DCRLo_Sel)/1000*(1+TCR_DCRLo/100*(AD5-25))+AF5/1000))/($B5-S5*AE5/1000) &gt; ChosenmaxDuty_max, ChosenmaxDuty_max, 100*((Vout_typ)+S5*(IF(ISBLANK(DCRLo_Sel),DCR_Lo,DCRLo_Sel)/1000*(1+TCR_DCRLo/100*(AD5-25))+AF5/1000))/($B5-S5*AE5/1000) )</f>
        <v>45.709316074273197</v>
      </c>
      <c r="U5" s="157">
        <f t="shared" ref="U5:U45" ca="1" si="13">ROUNDDOWN((1-T5/100)/Fsw_Sel*1000-2*tnonOverlap,0)</f>
        <v>1337</v>
      </c>
      <c r="V5" s="91">
        <f t="shared" ref="V5:V45" ca="1" si="14">IF(($B5-S5*IF(ISBLANK(DCRLo_Sel),DCR_Lo,DCRLo_Sel)/1000*(1+TCR_DCRLo/100*(AD5-25))-(Vout_typ))/(IF(ISBLANK(Lo_sel),Lo_Ridley,Lo_sel)/1000000)*T5/100/(IF(ISBLANK(Fsw_Sel),Fsw_Recom,Fsw_Sel)*1000000)&lt;0, 0, ($B5-S5*IF(ISBLANK(DCRLo_Sel),DCR_Lo,DCRLo_Sel)/1000*(1+TCR_DCRLo/100*(AD5-25))-(Vout_typ))/(IF(ISBLANK(Lo_sel),Lo_Ridley,Lo_sel)/1000000)*T5/100/(IF(ISBLANK(Fsw_Sel),Fsw_Recom,Fsw_Sel)*1000000))</f>
        <v>0.35845520332424108</v>
      </c>
      <c r="W5" s="25">
        <f t="shared" ref="W5:W45" si="15">$B5*IQ/1000+IF(ISBLANK(Fsw_Sel),Fsw_Recom,Fsw_Sel)*1000000*(QgHS+QgLS)/1000000000*$B5</f>
        <v>6.378596913375835E-2</v>
      </c>
      <c r="X5" s="25">
        <f t="shared" ref="X5:X45" si="16">$B5*S5*($B5/(SR_rise*1000000000)*IF(ISBLANK(Fsw_Sel),Fsw_Recom,Fsw_Sel)*1000000/2+$B5/(SR_fall*1000000000)*IF(ISBLANK(Fsw_Sel),Fsw_Recom,Fsw_Sel)*1000000/2)</f>
        <v>1.279999999999998E-2</v>
      </c>
      <c r="Y5" s="25">
        <f ca="1">IF(Reset,1,T5/100*(S5^2+V5^2/12)*AE5/1000)</f>
        <v>0.13790968792232072</v>
      </c>
      <c r="Z5" s="25">
        <f ca="1">IF(Reset,1,(1-T5/100)*(S5^2+V5^2/12)*AE5/1000)</f>
        <v>0.16380055359218998</v>
      </c>
      <c r="AA5" s="25">
        <f t="shared" ref="AA5:AA45" si="17">2*S5*tnonOverlap/1000000000*VSD_LS*IF(ISBLANK(Fsw_Sel),Fsw_Recom,Fsw_Sel)*1000000</f>
        <v>3.1999999999999997E-3</v>
      </c>
      <c r="AB5" s="25">
        <f t="shared" ref="AB5:AB45" si="18">(QgHS+QgLS)/1000000000*$B5*IF(ISBLANK(Fsw_Sel),Fsw_Recom,Fsw_Sel)*1000000</f>
        <v>3.7859691337583908E-3</v>
      </c>
      <c r="AC5" s="25">
        <f ca="1">SUM(W5:AB5)</f>
        <v>0.38528217978202739</v>
      </c>
      <c r="AD5" s="23">
        <f ca="1">IF(Reset=1,150,AC5*Rth_typ+$A5)</f>
        <v>38.099594112588932</v>
      </c>
      <c r="AE5" s="24">
        <f t="shared" ref="AE5:AE45" ca="1" si="19">RdsHS_max+RdsHS_max*TCR_Rds/100*(AD5-25)</f>
        <v>662.87805174042683</v>
      </c>
      <c r="AF5" s="24">
        <f t="shared" ref="AF5:AF45" ca="1" si="20">RdsLS_max+RdsLS_max*TCR_Rds/100*(AD5-25)</f>
        <v>276.19918822517786</v>
      </c>
      <c r="AG5" s="159">
        <f t="shared" ref="AG5:AG45" ca="1" si="21">IF(U5&gt;toffmin_typ,(1-toffmin_typ/1000000000*Fsw_Sel*1000000) * ($B5+S5*AF5/1000-S5*AE5/1000) - (S5*AF5/1000+S5*(1+($A5-25)*TCR_DCRLo/100)*IF(ISBLANK(DCRLo_Sel),DCR_Lo/1000,DCRLo_Sel/1000)),(1-toffmin_typ/1000000000*Fsw_Sel/4*1000000) * ($B5+S5*AF5/1000-S5*AE5/1000) - (S5*AF5/1000+S5*(1+($A5-25)*TCR_DCRLo/100)*IF(ISBLANK(DCRLo_Sel),DCR_Lo/1000,DCRLo_Sel/1000)))</f>
        <v>11.135512686412719</v>
      </c>
      <c r="AH5" s="92">
        <f t="shared" ref="AH5:AH45" ca="1" si="22">IF(AG5&gt;(Vout_typ),(Vout_typ),AG5)</f>
        <v>5.0744525547445258</v>
      </c>
      <c r="AI5" s="93">
        <f t="shared" ref="AI5:AI45" si="23">Iout/3</f>
        <v>0.33333333333333331</v>
      </c>
      <c r="AJ5" s="94">
        <f t="shared" ref="AJ5:AJ45" ca="1" si="24">IF( 100*((Vout_typ)+AI5*(IF(ISBLANK(DCRLo_Sel),DCR_Lo,DCRLo_Sel)/1000*(1+TCR_DCRLo/100*(AT5-25))+AV5/1000))/($B5-AI5*AU5/1000) &gt; ChosenmaxDuty_max, ChosenmaxDuty_max, 100*((Vout_typ)+AI5*(IF(ISBLANK(DCRLo_Sel),DCR_Lo,DCRLo_Sel)/1000*(1+TCR_DCRLo/100*(AT5-25))+AV5/1000))/($B5-AI5*AU5/1000) )</f>
        <v>43.870526989900171</v>
      </c>
      <c r="AK5" s="167">
        <f t="shared" ref="AK5:AK45" ca="1" si="25">ROUNDDOWN((1-AJ5/100)/Fsw_Sel*1000-2*tnonOverlap,0)</f>
        <v>1383</v>
      </c>
      <c r="AL5" s="168">
        <f t="shared" ref="AL5:AL45" ca="1" si="26">IF(($B5-AI5*IF(ISBLANK(DCRLo_Sel),DCR_Lo,DCRLo_Sel)/1000*(1+TCR_DCRLo/100*(AT5-25))-(Vout_typ))/(IF(ISBLANK(Lo_sel),Lo_Ridley,Lo_sel)/1000000)*AJ5/100/(IF(ISBLANK(Fsw_Sel),Fsw_Recom,Fsw_Sel)*1000000)&lt;0, 0, ($B5-AI5*IF(ISBLANK(DCRLo_Sel),DCR_Lo,DCRLo_Sel)/1000*(1+TCR_DCRLo/100*(AT5-25))-(Vout_typ))/(IF(ISBLANK(Lo_sel),Lo_Ridley,Lo_sel)/1000000)*AJ5/100/(IF(ISBLANK(Fsw_Sel),Fsw_Recom,Fsw_Sel)*1000000))</f>
        <v>0.34466506279237541</v>
      </c>
      <c r="AM5" s="169">
        <f t="shared" ref="AM5:AM45" si="27">$B5*IQ/1000+IF(ISBLANK(Fsw_Sel),Fsw_Recom,Fsw_Sel)*1000000*(QgHS+QgLS)/1000000000*$B5</f>
        <v>6.378596913375835E-2</v>
      </c>
      <c r="AN5" s="169">
        <f t="shared" ref="AN5:AN45" si="28">$B5*AI5*($B5/(SR_rise*1000000000)*IF(ISBLANK(Fsw_Sel),Fsw_Recom,Fsw_Sel)*1000000/2+$B5/(SR_fall*1000000000)*IF(ISBLANK(Fsw_Sel),Fsw_Recom,Fsw_Sel)*1000000/2)</f>
        <v>6.3999999999999899E-3</v>
      </c>
      <c r="AO5" s="169">
        <f ca="1">IF(Reset,1,AJ5/100*(AI5^2+AL5^2/12)*AU5/1000)</f>
        <v>3.3162471478537132E-2</v>
      </c>
      <c r="AP5" s="169">
        <f ca="1">IF(Reset,1,(1-AJ5/100)*(AI5^2+AL5^2/12)*AU5/1000)</f>
        <v>4.2429215592310596E-2</v>
      </c>
      <c r="AQ5" s="169">
        <f t="shared" ref="AQ5:AQ45" si="29">2*AI5*tnonOverlap/1000000000*VSD_LS*IF(ISBLANK(Fsw_Sel),Fsw_Recom,Fsw_Sel)*1000000</f>
        <v>1.5999999999999999E-3</v>
      </c>
      <c r="AR5" s="169">
        <f t="shared" ref="AR5:AR45" si="30">(QgHS+QgLS)/1000000000*$B5*IF(ISBLANK(Fsw_Sel),Fsw_Recom,Fsw_Sel)*1000000</f>
        <v>3.7859691337583908E-3</v>
      </c>
      <c r="AS5" s="169">
        <f ca="1">SUM(AM5:AR5)</f>
        <v>0.15116362533836447</v>
      </c>
      <c r="AT5" s="26">
        <f ca="1">IF(Reset=1,150,AS5*Rth_typ+$A5)</f>
        <v>30.139563261504392</v>
      </c>
      <c r="AU5" s="26">
        <f t="shared" ref="AU5:AU45" ca="1" si="31">RdsHS_max+RdsHS_max*TCR_Rds/100*(AT5-25)</f>
        <v>624.66990365522111</v>
      </c>
      <c r="AV5" s="26">
        <f t="shared" ref="AV5:AV45" ca="1" si="32">RdsLS_max+RdsLS_max*TCR_Rds/100*(AT5-25)</f>
        <v>260.27912652300881</v>
      </c>
      <c r="AW5" s="169">
        <f t="shared" ref="AW5:AW45" ca="1" si="33">IF(AK5&gt;toffmin_typ,(1-toffmin_typ/1000000000*Fsw_Sel*1000000) * ($B5+AI5*AV5/1000-AI5*AU5/1000) - (AI5*AV5/1000+AI5*(1+($A5-25)*TCR_DCRLo/100)*IF(ISBLANK(DCRLo_Sel),DCR_Lo/1000,DCRLo_Sel/1000)),(1-toffmin_typ/1000000000*Fsw_Sel/4*1000000) * ($B5+AI5*AV5/1000-AI5*AU5/1000) - (AI5*AV5/1000+AI5*(1+($A5-25)*TCR_DCRLo/100)*IF(ISBLANK(DCRLo_Sel),DCR_Lo/1000,DCRLo_Sel/1000)))</f>
        <v>11.376239794255749</v>
      </c>
      <c r="AX5" s="95">
        <f t="shared" ref="AX5:AX45" ca="1" si="34">IF(AW5&gt;(Vout_typ),(Vout_typ),AW5)</f>
        <v>5.0744525547445258</v>
      </c>
    </row>
    <row r="6" spans="1:50" s="58" customFormat="1" ht="12.75" customHeight="1" x14ac:dyDescent="0.2">
      <c r="A6" s="96">
        <v>25</v>
      </c>
      <c r="B6" s="97">
        <f t="shared" si="0"/>
        <v>11.782499999999992</v>
      </c>
      <c r="C6" s="98">
        <f t="shared" si="1"/>
        <v>1</v>
      </c>
      <c r="D6" s="99">
        <f t="shared" ca="1" si="2"/>
        <v>49.066797469415647</v>
      </c>
      <c r="E6" s="155">
        <f t="shared" ca="1" si="3"/>
        <v>1253</v>
      </c>
      <c r="F6" s="100">
        <f t="shared" ca="1" si="4"/>
        <v>0.37185638707856722</v>
      </c>
      <c r="G6" s="29">
        <f t="shared" ref="G6:G45" si="35">$B6*IQ/1000+IF(ISBLANK(Fsw_Sel),Fsw_Recom,Fsw_Sel)*1000000*(QgHS+QgLS)/1000000000*$B6</f>
        <v>6.2629848443208971E-2</v>
      </c>
      <c r="H6" s="29">
        <f t="shared" ref="H6:H45" si="36">$B6*C6*($B6/(SR_rise*1000000000)*IF(ISBLANK(Fsw_Sel),Fsw_Recom,Fsw_Sel)*1000000/2+$B6/(SR_fall*1000000000)*IF(ISBLANK(Fsw_Sel),Fsw_Recom,Fsw_Sel)*1000000/2)</f>
        <v>1.8510307499999976E-2</v>
      </c>
      <c r="I6" s="29">
        <f ca="1">IF(Reset,1,D6/100*(C6^2+F6^2/12)*O6/1000)</f>
        <v>0.36537109812980717</v>
      </c>
      <c r="J6" s="29">
        <f ca="1">IF(Reset,1,(1-D6/100)*(C6^2+F6^2/12)*O6/1000)</f>
        <v>0.3792691004842364</v>
      </c>
      <c r="K6" s="29">
        <f t="shared" si="5"/>
        <v>4.7999999999999996E-3</v>
      </c>
      <c r="L6" s="29">
        <f t="shared" si="6"/>
        <v>3.7173484432090199E-3</v>
      </c>
      <c r="M6" s="29">
        <f t="shared" ref="M6:M45" ca="1" si="37">SUM(G6:L6)</f>
        <v>0.83429770300046158</v>
      </c>
      <c r="N6" s="28">
        <f ca="1">IF(Reset=1,150,M6*Rth_typ+$A6)</f>
        <v>53.366121902015692</v>
      </c>
      <c r="O6" s="28">
        <f t="shared" ca="1" si="7"/>
        <v>736.15738512967528</v>
      </c>
      <c r="P6" s="28">
        <f t="shared" ca="1" si="8"/>
        <v>306.73224380403138</v>
      </c>
      <c r="Q6" s="29">
        <f t="shared" ca="1" si="9"/>
        <v>10.625338069675387</v>
      </c>
      <c r="R6" s="100">
        <f t="shared" ca="1" si="10"/>
        <v>5.0744525547445258</v>
      </c>
      <c r="S6" s="101">
        <f t="shared" si="11"/>
        <v>0.66666666666666663</v>
      </c>
      <c r="T6" s="102">
        <f t="shared" ca="1" si="12"/>
        <v>46.584207500259616</v>
      </c>
      <c r="U6" s="157">
        <f t="shared" ca="1" si="13"/>
        <v>1315</v>
      </c>
      <c r="V6" s="103">
        <f t="shared" ca="1" si="14"/>
        <v>0.35380277703673185</v>
      </c>
      <c r="W6" s="47">
        <f t="shared" si="15"/>
        <v>6.2629848443208971E-2</v>
      </c>
      <c r="X6" s="47">
        <f t="shared" si="16"/>
        <v>1.2340204999999983E-2</v>
      </c>
      <c r="Y6" s="47">
        <f ca="1">IF(Reset,1,T6/100*(S6^2+V6^2/12)*AE6/1000)</f>
        <v>0.14039428857438205</v>
      </c>
      <c r="Z6" s="47">
        <f ca="1">IF(Reset,1,(1-T6/100)*(S6^2+V6^2/12)*AE6/1000)</f>
        <v>0.16098314405361666</v>
      </c>
      <c r="AA6" s="47">
        <f t="shared" si="17"/>
        <v>3.1999999999999997E-3</v>
      </c>
      <c r="AB6" s="47">
        <f t="shared" si="18"/>
        <v>3.7173484432090199E-3</v>
      </c>
      <c r="AC6" s="47">
        <f t="shared" ref="AC6:AC45" ca="1" si="38">SUM(W6:AB6)</f>
        <v>0.38326483451441667</v>
      </c>
      <c r="AD6" s="32">
        <f ca="1">IF(Reset=1,150,AC6*Rth_typ+$A6)</f>
        <v>38.031004373490163</v>
      </c>
      <c r="AE6" s="104">
        <f t="shared" ca="1" si="19"/>
        <v>662.54882099275278</v>
      </c>
      <c r="AF6" s="104">
        <f t="shared" ca="1" si="20"/>
        <v>276.06200874698033</v>
      </c>
      <c r="AG6" s="160">
        <f t="shared" ca="1" si="21"/>
        <v>10.925622820415727</v>
      </c>
      <c r="AH6" s="105">
        <f t="shared" ca="1" si="22"/>
        <v>5.0744525547445258</v>
      </c>
      <c r="AI6" s="106">
        <f t="shared" si="23"/>
        <v>0.33333333333333331</v>
      </c>
      <c r="AJ6" s="107">
        <f t="shared" ca="1" si="24"/>
        <v>44.694235436980264</v>
      </c>
      <c r="AK6" s="167">
        <f t="shared" ca="1" si="25"/>
        <v>1362</v>
      </c>
      <c r="AL6" s="170">
        <f t="shared" ca="1" si="26"/>
        <v>0.34009000218368129</v>
      </c>
      <c r="AM6" s="173">
        <f t="shared" si="27"/>
        <v>6.2629848443208971E-2</v>
      </c>
      <c r="AN6" s="173">
        <f t="shared" si="28"/>
        <v>6.1701024999999913E-3</v>
      </c>
      <c r="AO6" s="173">
        <f ca="1">IF(Reset,1,AJ6/100*(AI6^2+AL6^2/12)*AU6/1000)</f>
        <v>3.3697704473147197E-2</v>
      </c>
      <c r="AP6" s="173">
        <f ca="1">IF(Reset,1,(1-AJ6/100)*(AI6^2+AL6^2/12)*AU6/1000)</f>
        <v>4.1698382166843802E-2</v>
      </c>
      <c r="AQ6" s="173">
        <f t="shared" si="29"/>
        <v>1.5999999999999999E-3</v>
      </c>
      <c r="AR6" s="173">
        <f t="shared" si="30"/>
        <v>3.7173484432090199E-3</v>
      </c>
      <c r="AS6" s="173">
        <f t="shared" ref="AS6:AS45" ca="1" si="39">SUM(AM6:AR6)</f>
        <v>0.14951338602640896</v>
      </c>
      <c r="AT6" s="34">
        <f ca="1">IF(Reset=1,150,AS6*Rth_typ+$A6)</f>
        <v>30.083455124897903</v>
      </c>
      <c r="AU6" s="34">
        <f t="shared" ca="1" si="31"/>
        <v>624.4005845995099</v>
      </c>
      <c r="AV6" s="34">
        <f t="shared" ca="1" si="32"/>
        <v>260.16691024979582</v>
      </c>
      <c r="AW6" s="173">
        <f t="shared" ca="1" si="33"/>
        <v>11.166222786776119</v>
      </c>
      <c r="AX6" s="108">
        <f t="shared" ca="1" si="34"/>
        <v>5.0744525547445258</v>
      </c>
    </row>
    <row r="7" spans="1:50" s="58" customFormat="1" ht="12.75" customHeight="1" x14ac:dyDescent="0.2">
      <c r="A7" s="96">
        <v>25</v>
      </c>
      <c r="B7" s="97">
        <f t="shared" si="0"/>
        <v>11.564999999999992</v>
      </c>
      <c r="C7" s="98">
        <f t="shared" si="1"/>
        <v>1</v>
      </c>
      <c r="D7" s="87">
        <f t="shared" ca="1" si="2"/>
        <v>50.048688340106047</v>
      </c>
      <c r="E7" s="155">
        <f t="shared" ca="1" si="3"/>
        <v>1228</v>
      </c>
      <c r="F7" s="100">
        <f t="shared" ca="1" si="4"/>
        <v>0.36692840899475959</v>
      </c>
      <c r="G7" s="29">
        <f t="shared" si="35"/>
        <v>6.1473727752659607E-2</v>
      </c>
      <c r="H7" s="29">
        <f t="shared" si="36"/>
        <v>1.7833229999999978E-2</v>
      </c>
      <c r="I7" s="29">
        <f ca="1">IF(Reset,1,D7/100*(C7^2+F7^2/12)*O7/1000)</f>
        <v>0.37236064792218732</v>
      </c>
      <c r="J7" s="29">
        <f ca="1">IF(Reset,1,(1-D7/100)*(C7^2+F7^2/12)*O7/1000)</f>
        <v>0.37163616852145082</v>
      </c>
      <c r="K7" s="29">
        <f t="shared" si="5"/>
        <v>4.7999999999999996E-3</v>
      </c>
      <c r="L7" s="29">
        <f t="shared" si="6"/>
        <v>3.6487277526596491E-3</v>
      </c>
      <c r="M7" s="29">
        <f t="shared" ca="1" si="37"/>
        <v>0.83175250194895733</v>
      </c>
      <c r="N7" s="28">
        <f ca="1">IF(Reset=1,150,M7*Rth_typ+$A7)</f>
        <v>53.279585066264545</v>
      </c>
      <c r="O7" s="28">
        <f t="shared" ca="1" si="7"/>
        <v>735.74200831806979</v>
      </c>
      <c r="P7" s="28">
        <f t="shared" ca="1" si="8"/>
        <v>306.55917013252906</v>
      </c>
      <c r="Q7" s="29">
        <f t="shared" ca="1" si="9"/>
        <v>10.41564020818023</v>
      </c>
      <c r="R7" s="100">
        <f t="shared" ca="1" si="10"/>
        <v>5.0744525547445258</v>
      </c>
      <c r="S7" s="101">
        <f t="shared" si="11"/>
        <v>0.66666666666666663</v>
      </c>
      <c r="T7" s="102">
        <f t="shared" ca="1" si="12"/>
        <v>47.493282073788315</v>
      </c>
      <c r="U7" s="157">
        <f t="shared" ca="1" si="13"/>
        <v>1292</v>
      </c>
      <c r="V7" s="103">
        <f t="shared" ca="1" si="14"/>
        <v>0.34896905722462346</v>
      </c>
      <c r="W7" s="47">
        <f t="shared" si="15"/>
        <v>6.1473727752659607E-2</v>
      </c>
      <c r="X7" s="47">
        <f t="shared" si="16"/>
        <v>1.1888819999999984E-2</v>
      </c>
      <c r="Y7" s="47">
        <f ca="1">IF(Reset,1,T7/100*(S7^2+V7^2/12)*AE7/1000)</f>
        <v>0.14297402822253052</v>
      </c>
      <c r="Z7" s="47">
        <f ca="1">IF(Reset,1,(1-T7/100)*(S7^2+V7^2/12)*AE7/1000)</f>
        <v>0.15806650210004816</v>
      </c>
      <c r="AA7" s="47">
        <f t="shared" si="17"/>
        <v>3.1999999999999997E-3</v>
      </c>
      <c r="AB7" s="47">
        <f t="shared" si="18"/>
        <v>3.6487277526596491E-3</v>
      </c>
      <c r="AC7" s="47">
        <f t="shared" ca="1" si="38"/>
        <v>0.38125180582789797</v>
      </c>
      <c r="AD7" s="32">
        <f ca="1">IF(Reset=1,150,AC7*Rth_typ+$A7)</f>
        <v>37.96256139814853</v>
      </c>
      <c r="AE7" s="104">
        <f t="shared" ca="1" si="19"/>
        <v>662.22029471111296</v>
      </c>
      <c r="AF7" s="104">
        <f t="shared" ca="1" si="20"/>
        <v>275.92512279629705</v>
      </c>
      <c r="AG7" s="160">
        <f t="shared" ca="1" si="21"/>
        <v>10.71573249408932</v>
      </c>
      <c r="AH7" s="105">
        <f t="shared" ca="1" si="22"/>
        <v>5.0744525547445258</v>
      </c>
      <c r="AI7" s="106">
        <f t="shared" si="23"/>
        <v>0.33333333333333331</v>
      </c>
      <c r="AJ7" s="107">
        <f t="shared" ca="1" si="24"/>
        <v>45.54948115152046</v>
      </c>
      <c r="AK7" s="167">
        <f t="shared" ca="1" si="25"/>
        <v>1341</v>
      </c>
      <c r="AL7" s="170">
        <f t="shared" ca="1" si="26"/>
        <v>0.33533995289301921</v>
      </c>
      <c r="AM7" s="173">
        <f t="shared" si="27"/>
        <v>6.1473727752659607E-2</v>
      </c>
      <c r="AN7" s="173">
        <f t="shared" si="28"/>
        <v>5.944409999999992E-3</v>
      </c>
      <c r="AO7" s="173">
        <f ca="1">IF(Reset,1,AJ7/100*(AI7^2+AL7^2/12)*AU7/1000)</f>
        <v>3.4251709804102269E-2</v>
      </c>
      <c r="AP7" s="173">
        <f ca="1">IF(Reset,1,(1-AJ7/100)*(AI7^2+AL7^2/12)*AU7/1000)</f>
        <v>4.0944997025913796E-2</v>
      </c>
      <c r="AQ7" s="173">
        <f t="shared" si="29"/>
        <v>1.5999999999999999E-3</v>
      </c>
      <c r="AR7" s="173">
        <f t="shared" si="30"/>
        <v>3.6487277526596491E-3</v>
      </c>
      <c r="AS7" s="173">
        <f t="shared" ca="1" si="39"/>
        <v>0.14786357233533529</v>
      </c>
      <c r="AT7" s="34">
        <f ca="1">IF(Reset=1,150,AS7*Rth_typ+$A7)</f>
        <v>30.027361459401398</v>
      </c>
      <c r="AU7" s="34">
        <f t="shared" ca="1" si="31"/>
        <v>624.13133500512674</v>
      </c>
      <c r="AV7" s="34">
        <f t="shared" ca="1" si="32"/>
        <v>260.05472291880278</v>
      </c>
      <c r="AW7" s="173">
        <f t="shared" ca="1" si="33"/>
        <v>10.956205756601928</v>
      </c>
      <c r="AX7" s="108">
        <f t="shared" ca="1" si="34"/>
        <v>5.0744525547445258</v>
      </c>
    </row>
    <row r="8" spans="1:50" s="58" customFormat="1" ht="12.75" customHeight="1" x14ac:dyDescent="0.2">
      <c r="A8" s="27">
        <v>25</v>
      </c>
      <c r="B8" s="109">
        <f t="shared" si="0"/>
        <v>11.347499999999993</v>
      </c>
      <c r="C8" s="110">
        <f t="shared" si="1"/>
        <v>1</v>
      </c>
      <c r="D8" s="87">
        <f t="shared" ca="1" si="2"/>
        <v>51.070762925939377</v>
      </c>
      <c r="E8" s="155">
        <f t="shared" ca="1" si="3"/>
        <v>1203</v>
      </c>
      <c r="F8" s="100">
        <f t="shared" ca="1" si="4"/>
        <v>0.36179976153762333</v>
      </c>
      <c r="G8" s="31">
        <f t="shared" si="35"/>
        <v>6.0317607062110243E-2</v>
      </c>
      <c r="H8" s="31">
        <f t="shared" si="36"/>
        <v>1.716876749999998E-2</v>
      </c>
      <c r="I8" s="31">
        <f ca="1">IF(Reset,1,D8/100*(C8^2+F8^2/12)*O8/1000)</f>
        <v>0.37963407401861077</v>
      </c>
      <c r="J8" s="31">
        <f ca="1">IF(Reset,1,(1-D8/100)*(C8^2+F8^2/12)*O8/1000)</f>
        <v>0.36371506014086874</v>
      </c>
      <c r="K8" s="31">
        <f t="shared" si="5"/>
        <v>4.7999999999999996E-3</v>
      </c>
      <c r="L8" s="31">
        <f t="shared" si="6"/>
        <v>3.5801070621102786E-3</v>
      </c>
      <c r="M8" s="31">
        <f t="shared" ca="1" si="37"/>
        <v>0.82921561578370007</v>
      </c>
      <c r="N8" s="28">
        <f ca="1">IF(Reset=1,150,M8*Rth_typ+$A8)</f>
        <v>53.1933309366458</v>
      </c>
      <c r="O8" s="30">
        <f t="shared" ca="1" si="7"/>
        <v>735.32798849589983</v>
      </c>
      <c r="P8" s="30">
        <f t="shared" ca="1" si="8"/>
        <v>306.38666187329159</v>
      </c>
      <c r="Q8" s="29">
        <f t="shared" ca="1" si="9"/>
        <v>10.205941016609261</v>
      </c>
      <c r="R8" s="100">
        <f t="shared" ca="1" si="10"/>
        <v>5.0744525547445258</v>
      </c>
      <c r="S8" s="111">
        <f t="shared" si="11"/>
        <v>0.66666666666666663</v>
      </c>
      <c r="T8" s="102">
        <f t="shared" ca="1" si="12"/>
        <v>48.438582852011088</v>
      </c>
      <c r="U8" s="157">
        <f t="shared" ca="1" si="13"/>
        <v>1269</v>
      </c>
      <c r="V8" s="103">
        <f t="shared" ca="1" si="14"/>
        <v>0.34394320551211732</v>
      </c>
      <c r="W8" s="112">
        <f t="shared" si="15"/>
        <v>6.0317607062110243E-2</v>
      </c>
      <c r="X8" s="112">
        <f t="shared" si="16"/>
        <v>1.1445844999999986E-2</v>
      </c>
      <c r="Y8" s="112">
        <f ca="1">IF(Reset,1,T8/100*(S8^2+V8^2/12)*AE8/1000)</f>
        <v>0.14565453304625381</v>
      </c>
      <c r="Z8" s="112">
        <f ca="1">IF(Reset,1,(1-T8/100)*(S8^2+V8^2/12)*AE8/1000)</f>
        <v>0.15504487736229511</v>
      </c>
      <c r="AA8" s="112">
        <f t="shared" si="17"/>
        <v>3.1999999999999997E-3</v>
      </c>
      <c r="AB8" s="112">
        <f t="shared" si="18"/>
        <v>3.5801070621102786E-3</v>
      </c>
      <c r="AC8" s="112">
        <f t="shared" ca="1" si="38"/>
        <v>0.37924296953276937</v>
      </c>
      <c r="AD8" s="32">
        <f ca="1">IF(Reset=1,150,AC8*Rth_typ+$A8)</f>
        <v>37.89426096411416</v>
      </c>
      <c r="AE8" s="33">
        <f t="shared" ca="1" si="19"/>
        <v>661.89245262774796</v>
      </c>
      <c r="AF8" s="33">
        <f t="shared" ca="1" si="20"/>
        <v>275.78852192822831</v>
      </c>
      <c r="AG8" s="160">
        <f t="shared" ca="1" si="21"/>
        <v>10.505841720677349</v>
      </c>
      <c r="AH8" s="105">
        <f t="shared" ca="1" si="22"/>
        <v>5.0744525547445258</v>
      </c>
      <c r="AI8" s="113">
        <f t="shared" si="23"/>
        <v>0.33333333333333331</v>
      </c>
      <c r="AJ8" s="107">
        <f t="shared" ca="1" si="24"/>
        <v>46.438110635383161</v>
      </c>
      <c r="AK8" s="167">
        <f t="shared" ca="1" si="25"/>
        <v>1319</v>
      </c>
      <c r="AL8" s="170">
        <f t="shared" ca="1" si="26"/>
        <v>0.33040466879706765</v>
      </c>
      <c r="AM8" s="171">
        <f t="shared" si="27"/>
        <v>6.0317607062110243E-2</v>
      </c>
      <c r="AN8" s="171">
        <f t="shared" si="28"/>
        <v>5.7229224999999929E-3</v>
      </c>
      <c r="AO8" s="171">
        <f ca="1">IF(Reset,1,AJ8/100*(AI8^2+AL8^2/12)*AU8/1000)</f>
        <v>3.4825545082256895E-2</v>
      </c>
      <c r="AP8" s="171">
        <f ca="1">IF(Reset,1,(1-AJ8/100)*(AI8^2+AL8^2/12)*AU8/1000)</f>
        <v>4.0167913104911114E-2</v>
      </c>
      <c r="AQ8" s="171">
        <f t="shared" si="29"/>
        <v>1.5999999999999999E-3</v>
      </c>
      <c r="AR8" s="171">
        <f t="shared" si="30"/>
        <v>3.5801070621102786E-3</v>
      </c>
      <c r="AS8" s="171">
        <f t="shared" ca="1" si="39"/>
        <v>0.14621409481138853</v>
      </c>
      <c r="AT8" s="34">
        <f ca="1">IF(Reset=1,150,AS8*Rth_typ+$A8)</f>
        <v>29.97127922358721</v>
      </c>
      <c r="AU8" s="172">
        <f t="shared" ca="1" si="31"/>
        <v>623.86214027321864</v>
      </c>
      <c r="AV8" s="172">
        <f t="shared" ca="1" si="32"/>
        <v>259.94255844717441</v>
      </c>
      <c r="AW8" s="173">
        <f t="shared" ca="1" si="33"/>
        <v>10.746188708502949</v>
      </c>
      <c r="AX8" s="108">
        <f t="shared" ca="1" si="34"/>
        <v>5.0744525547445258</v>
      </c>
    </row>
    <row r="9" spans="1:50" s="58" customFormat="1" ht="12.75" customHeight="1" x14ac:dyDescent="0.2">
      <c r="A9" s="27">
        <v>25</v>
      </c>
      <c r="B9" s="109">
        <f t="shared" si="0"/>
        <v>11.129999999999994</v>
      </c>
      <c r="C9" s="110">
        <f t="shared" si="1"/>
        <v>1</v>
      </c>
      <c r="D9" s="87">
        <f t="shared" ca="1" si="2"/>
        <v>52.135538864602772</v>
      </c>
      <c r="E9" s="155">
        <f t="shared" ca="1" si="3"/>
        <v>1176</v>
      </c>
      <c r="F9" s="100">
        <f t="shared" ca="1" si="4"/>
        <v>0.35645786437514676</v>
      </c>
      <c r="G9" s="31">
        <f t="shared" si="35"/>
        <v>5.9161486371560879E-2</v>
      </c>
      <c r="H9" s="31">
        <f t="shared" si="36"/>
        <v>1.651691999999998E-2</v>
      </c>
      <c r="I9" s="31">
        <f ca="1">IF(Reset,1,D9/100*(C9^2+F9^2/12)*O9/1000)</f>
        <v>0.3872090608325624</v>
      </c>
      <c r="J9" s="31">
        <f ca="1">IF(Reset,1,(1-D9/100)*(C9^2+F9^2/12)*O9/1000)</f>
        <v>0.35548789649275364</v>
      </c>
      <c r="K9" s="31">
        <f t="shared" si="5"/>
        <v>4.7999999999999996E-3</v>
      </c>
      <c r="L9" s="31">
        <f t="shared" si="6"/>
        <v>3.5114863715609078E-3</v>
      </c>
      <c r="M9" s="31">
        <f t="shared" ca="1" si="37"/>
        <v>0.8266868500684379</v>
      </c>
      <c r="N9" s="28">
        <f ca="1">IF(Reset=1,150,M9*Rth_typ+$A9)</f>
        <v>53.107352902326888</v>
      </c>
      <c r="O9" s="30">
        <f t="shared" ca="1" si="7"/>
        <v>734.91529393116912</v>
      </c>
      <c r="P9" s="30">
        <f t="shared" ca="1" si="8"/>
        <v>306.21470580465376</v>
      </c>
      <c r="Q9" s="29">
        <f t="shared" ca="1" si="9"/>
        <v>9.9962405260651259</v>
      </c>
      <c r="R9" s="100">
        <f t="shared" ca="1" si="10"/>
        <v>5.0744525547445258</v>
      </c>
      <c r="S9" s="111">
        <f t="shared" si="11"/>
        <v>0.66666666666666663</v>
      </c>
      <c r="T9" s="102">
        <f t="shared" ca="1" si="12"/>
        <v>49.422319021960384</v>
      </c>
      <c r="U9" s="157">
        <f t="shared" ca="1" si="13"/>
        <v>1244</v>
      </c>
      <c r="V9" s="103">
        <f t="shared" ca="1" si="14"/>
        <v>0.33871350230206249</v>
      </c>
      <c r="W9" s="112">
        <f t="shared" si="15"/>
        <v>5.9161486371560879E-2</v>
      </c>
      <c r="X9" s="112">
        <f t="shared" si="16"/>
        <v>1.1011279999999988E-2</v>
      </c>
      <c r="Y9" s="112">
        <f ca="1">IF(Reset,1,T9/100*(S9^2+V9^2/12)*AE9/1000)</f>
        <v>0.1484418883810979</v>
      </c>
      <c r="Z9" s="112">
        <f ca="1">IF(Reset,1,(1-T9/100)*(S9^2+V9^2/12)*AE9/1000)</f>
        <v>0.15191206367675478</v>
      </c>
      <c r="AA9" s="112">
        <f t="shared" si="17"/>
        <v>3.1999999999999997E-3</v>
      </c>
      <c r="AB9" s="112">
        <f t="shared" si="18"/>
        <v>3.5114863715609078E-3</v>
      </c>
      <c r="AC9" s="112">
        <f t="shared" ca="1" si="38"/>
        <v>0.37723820480097442</v>
      </c>
      <c r="AD9" s="32">
        <f ca="1">IF(Reset=1,150,AC9*Rth_typ+$A9)</f>
        <v>37.826098963233129</v>
      </c>
      <c r="AE9" s="33">
        <f t="shared" ca="1" si="19"/>
        <v>661.56527502351901</v>
      </c>
      <c r="AF9" s="33">
        <f t="shared" ca="1" si="20"/>
        <v>275.65219792646627</v>
      </c>
      <c r="AG9" s="160">
        <f t="shared" ca="1" si="21"/>
        <v>10.295950513065181</v>
      </c>
      <c r="AH9" s="105">
        <f t="shared" ca="1" si="22"/>
        <v>5.0744525547445258</v>
      </c>
      <c r="AI9" s="113">
        <f t="shared" si="23"/>
        <v>0.33333333333333331</v>
      </c>
      <c r="AJ9" s="107">
        <f t="shared" ca="1" si="24"/>
        <v>47.362117413006395</v>
      </c>
      <c r="AK9" s="167">
        <f t="shared" ca="1" si="25"/>
        <v>1295</v>
      </c>
      <c r="AL9" s="170">
        <f t="shared" ca="1" si="26"/>
        <v>0.32527308799551063</v>
      </c>
      <c r="AM9" s="171">
        <f t="shared" si="27"/>
        <v>5.9161486371560879E-2</v>
      </c>
      <c r="AN9" s="171">
        <f t="shared" si="28"/>
        <v>5.5056399999999939E-3</v>
      </c>
      <c r="AO9" s="171">
        <f ca="1">IF(Reset,1,AJ9/100*(AI9^2+AL9^2/12)*AU9/1000)</f>
        <v>3.5420354029097371E-2</v>
      </c>
      <c r="AP9" s="171">
        <f ca="1">IF(Reset,1,(1-AJ9/100)*(AI9^2+AL9^2/12)*AU9/1000)</f>
        <v>3.9365901239486495E-2</v>
      </c>
      <c r="AQ9" s="171">
        <f t="shared" si="29"/>
        <v>1.5999999999999999E-3</v>
      </c>
      <c r="AR9" s="171">
        <f t="shared" si="30"/>
        <v>3.5114863715609078E-3</v>
      </c>
      <c r="AS9" s="171">
        <f t="shared" ca="1" si="39"/>
        <v>0.14456486801170562</v>
      </c>
      <c r="AT9" s="34">
        <f ca="1">IF(Reset=1,150,AS9*Rth_typ+$A9)</f>
        <v>29.915205512397989</v>
      </c>
      <c r="AU9" s="172">
        <f t="shared" ca="1" si="31"/>
        <v>623.59298645951037</v>
      </c>
      <c r="AV9" s="172">
        <f t="shared" ca="1" si="32"/>
        <v>259.83041102479598</v>
      </c>
      <c r="AW9" s="173">
        <f t="shared" ca="1" si="33"/>
        <v>10.536171647035085</v>
      </c>
      <c r="AX9" s="108">
        <f t="shared" ca="1" si="34"/>
        <v>5.0744525547445258</v>
      </c>
    </row>
    <row r="10" spans="1:50" s="58" customFormat="1" ht="12.75" customHeight="1" x14ac:dyDescent="0.2">
      <c r="A10" s="27">
        <v>25</v>
      </c>
      <c r="B10" s="109">
        <f t="shared" si="0"/>
        <v>10.912499999999994</v>
      </c>
      <c r="C10" s="110">
        <f t="shared" si="1"/>
        <v>1</v>
      </c>
      <c r="D10" s="87">
        <f t="shared" ca="1" si="2"/>
        <v>53.245748615117108</v>
      </c>
      <c r="E10" s="155">
        <f t="shared" ca="1" si="3"/>
        <v>1148</v>
      </c>
      <c r="F10" s="100">
        <f t="shared" ca="1" si="4"/>
        <v>0.35088906394576913</v>
      </c>
      <c r="G10" s="31">
        <f t="shared" si="35"/>
        <v>5.8005365681011507E-2</v>
      </c>
      <c r="H10" s="31">
        <f t="shared" si="36"/>
        <v>1.5877687499999987E-2</v>
      </c>
      <c r="I10" s="31">
        <f ca="1">IF(Reset,1,D10/100*(C10^2+F10^2/12)*O10/1000)</f>
        <v>0.3951048038049717</v>
      </c>
      <c r="J10" s="31">
        <f ca="1">IF(Reset,1,(1-D10/100)*(C10^2+F10^2/12)*O10/1000)</f>
        <v>0.34693529156669284</v>
      </c>
      <c r="K10" s="31">
        <f t="shared" si="5"/>
        <v>4.7999999999999996E-3</v>
      </c>
      <c r="L10" s="31">
        <f t="shared" si="6"/>
        <v>3.4428656810115369E-3</v>
      </c>
      <c r="M10" s="31">
        <f t="shared" ca="1" si="37"/>
        <v>0.82416601423368763</v>
      </c>
      <c r="N10" s="28">
        <f ca="1">IF(Reset=1,150,M10*Rth_typ+$A10)</f>
        <v>53.02164448394538</v>
      </c>
      <c r="O10" s="30">
        <f t="shared" ca="1" si="7"/>
        <v>734.5038935229378</v>
      </c>
      <c r="P10" s="30">
        <f t="shared" ca="1" si="8"/>
        <v>306.04328896789076</v>
      </c>
      <c r="Q10" s="29">
        <f t="shared" ca="1" si="9"/>
        <v>9.7865387670319279</v>
      </c>
      <c r="R10" s="100">
        <f t="shared" ca="1" si="10"/>
        <v>5.0744525547445258</v>
      </c>
      <c r="S10" s="111">
        <f t="shared" si="11"/>
        <v>0.66666666666666663</v>
      </c>
      <c r="T10" s="102">
        <f t="shared" ca="1" si="12"/>
        <v>50.446883138454197</v>
      </c>
      <c r="U10" s="157">
        <f t="shared" ca="1" si="13"/>
        <v>1218</v>
      </c>
      <c r="V10" s="103">
        <f t="shared" ca="1" si="14"/>
        <v>0.33326725535755547</v>
      </c>
      <c r="W10" s="112">
        <f t="shared" si="15"/>
        <v>5.8005365681011507E-2</v>
      </c>
      <c r="X10" s="112">
        <f t="shared" si="16"/>
        <v>1.058512499999999E-2</v>
      </c>
      <c r="Y10" s="112">
        <f ca="1">IF(Reset,1,T10/100*(S10^2+V10^2/12)*AE10/1000)</f>
        <v>0.15134268725407266</v>
      </c>
      <c r="Z10" s="112">
        <f ca="1">IF(Reset,1,(1-T10/100)*(S10^2+V10^2/12)*AE10/1000)</f>
        <v>0.14866135231900551</v>
      </c>
      <c r="AA10" s="112">
        <f t="shared" si="17"/>
        <v>3.1999999999999997E-3</v>
      </c>
      <c r="AB10" s="112">
        <f t="shared" si="18"/>
        <v>3.4428656810115369E-3</v>
      </c>
      <c r="AC10" s="112">
        <f t="shared" ca="1" si="38"/>
        <v>0.37523739593510119</v>
      </c>
      <c r="AD10" s="32">
        <f ca="1">IF(Reset=1,150,AC10*Rth_typ+$A10)</f>
        <v>37.758071461793442</v>
      </c>
      <c r="AE10" s="33">
        <f t="shared" ca="1" si="19"/>
        <v>661.23874301660851</v>
      </c>
      <c r="AF10" s="33">
        <f t="shared" ca="1" si="20"/>
        <v>275.51614292358687</v>
      </c>
      <c r="AG10" s="160">
        <f t="shared" ca="1" si="21"/>
        <v>10.086058883591033</v>
      </c>
      <c r="AH10" s="105">
        <f t="shared" ca="1" si="22"/>
        <v>5.0744525547445258</v>
      </c>
      <c r="AI10" s="113">
        <f t="shared" si="23"/>
        <v>0.33333333333333331</v>
      </c>
      <c r="AJ10" s="107">
        <f t="shared" ca="1" si="24"/>
        <v>48.323656962066487</v>
      </c>
      <c r="AK10" s="167">
        <f t="shared" ca="1" si="25"/>
        <v>1271</v>
      </c>
      <c r="AL10" s="170">
        <f t="shared" ca="1" si="26"/>
        <v>0.31993324997368622</v>
      </c>
      <c r="AM10" s="171">
        <f t="shared" si="27"/>
        <v>5.8005365681011507E-2</v>
      </c>
      <c r="AN10" s="171">
        <f t="shared" si="28"/>
        <v>5.2925624999999952E-3</v>
      </c>
      <c r="AO10" s="171">
        <f ca="1">IF(Reset,1,AJ10/100*(AI10^2+AL10^2/12)*AU10/1000)</f>
        <v>3.6037375974130835E-2</v>
      </c>
      <c r="AP10" s="171">
        <f ca="1">IF(Reset,1,(1-AJ10/100)*(AI10^2+AL10^2/12)*AU10/1000)</f>
        <v>3.8537642225381176E-2</v>
      </c>
      <c r="AQ10" s="171">
        <f t="shared" si="29"/>
        <v>1.5999999999999999E-3</v>
      </c>
      <c r="AR10" s="171">
        <f t="shared" si="30"/>
        <v>3.4428656810115369E-3</v>
      </c>
      <c r="AS10" s="171">
        <f t="shared" ca="1" si="39"/>
        <v>0.14291581206153503</v>
      </c>
      <c r="AT10" s="34">
        <f ca="1">IF(Reset=1,150,AS10*Rth_typ+$A10)</f>
        <v>29.859137610092191</v>
      </c>
      <c r="AU10" s="172">
        <f t="shared" ca="1" si="31"/>
        <v>623.32386052844254</v>
      </c>
      <c r="AV10" s="172">
        <f t="shared" ca="1" si="32"/>
        <v>259.71827522018441</v>
      </c>
      <c r="AW10" s="173">
        <f t="shared" ca="1" si="33"/>
        <v>10.326154576457339</v>
      </c>
      <c r="AX10" s="108">
        <f t="shared" ca="1" si="34"/>
        <v>5.0744525547445258</v>
      </c>
    </row>
    <row r="11" spans="1:50" s="58" customFormat="1" ht="12.75" customHeight="1" x14ac:dyDescent="0.2">
      <c r="A11" s="27">
        <v>25</v>
      </c>
      <c r="B11" s="109">
        <f t="shared" si="0"/>
        <v>10.694999999999995</v>
      </c>
      <c r="C11" s="110">
        <f t="shared" si="1"/>
        <v>1</v>
      </c>
      <c r="D11" s="87">
        <f t="shared" ca="1" si="2"/>
        <v>54.404362873754572</v>
      </c>
      <c r="E11" s="155">
        <f t="shared" ca="1" si="3"/>
        <v>1119</v>
      </c>
      <c r="F11" s="100">
        <f t="shared" ca="1" si="4"/>
        <v>0.34507851651955135</v>
      </c>
      <c r="G11" s="31">
        <f t="shared" si="35"/>
        <v>5.6849244990462143E-2</v>
      </c>
      <c r="H11" s="31">
        <f t="shared" si="36"/>
        <v>1.5251069999999985E-2</v>
      </c>
      <c r="I11" s="31">
        <f ca="1">IF(Reset,1,D11/100*(C11^2+F11^2/12)*O11/1000)</f>
        <v>0.40334217557308388</v>
      </c>
      <c r="J11" s="31">
        <f ca="1">IF(Reset,1,(1-D11/100)*(C11^2+F11^2/12)*O11/1000)</f>
        <v>0.33803618871185431</v>
      </c>
      <c r="K11" s="31">
        <f t="shared" si="5"/>
        <v>4.7999999999999996E-3</v>
      </c>
      <c r="L11" s="31">
        <f t="shared" si="6"/>
        <v>3.374244990462166E-3</v>
      </c>
      <c r="M11" s="31">
        <f t="shared" ca="1" si="37"/>
        <v>0.82165292426586245</v>
      </c>
      <c r="N11" s="28">
        <f ca="1">IF(Reset=1,150,M11*Rth_typ+$A11)</f>
        <v>52.93619942503932</v>
      </c>
      <c r="O11" s="30">
        <f t="shared" ca="1" si="7"/>
        <v>734.09375724018878</v>
      </c>
      <c r="P11" s="30">
        <f t="shared" ca="1" si="8"/>
        <v>305.87239885007864</v>
      </c>
      <c r="Q11" s="29">
        <f t="shared" ca="1" si="9"/>
        <v>9.5768357689450703</v>
      </c>
      <c r="R11" s="100">
        <f t="shared" ca="1" si="10"/>
        <v>5.0744525547445258</v>
      </c>
      <c r="S11" s="111">
        <f t="shared" si="11"/>
        <v>0.66666666666666663</v>
      </c>
      <c r="T11" s="102">
        <f t="shared" ca="1" si="12"/>
        <v>51.514870554156481</v>
      </c>
      <c r="U11" s="157">
        <f t="shared" ca="1" si="13"/>
        <v>1192</v>
      </c>
      <c r="V11" s="103">
        <f t="shared" ca="1" si="14"/>
        <v>0.32759069676134589</v>
      </c>
      <c r="W11" s="112">
        <f t="shared" si="15"/>
        <v>5.6849244990462143E-2</v>
      </c>
      <c r="X11" s="112">
        <f t="shared" si="16"/>
        <v>1.016737999999999E-2</v>
      </c>
      <c r="Y11" s="112">
        <f ca="1">IF(Reset,1,T11/100*(S11^2+V11^2/12)*AE11/1000)</f>
        <v>0.15436408530189002</v>
      </c>
      <c r="Z11" s="112">
        <f ca="1">IF(Reset,1,(1-T11/100)*(S11^2+V11^2/12)*AE11/1000)</f>
        <v>0.14528547926337537</v>
      </c>
      <c r="AA11" s="112">
        <f t="shared" si="17"/>
        <v>3.1999999999999997E-3</v>
      </c>
      <c r="AB11" s="112">
        <f t="shared" si="18"/>
        <v>3.374244990462166E-3</v>
      </c>
      <c r="AC11" s="112">
        <f t="shared" ca="1" si="38"/>
        <v>0.37324043454618966</v>
      </c>
      <c r="AD11" s="32">
        <f ca="1">IF(Reset=1,150,AC11*Rth_typ+$A11)</f>
        <v>37.690174774570451</v>
      </c>
      <c r="AE11" s="33">
        <f t="shared" ca="1" si="19"/>
        <v>660.91283891793819</v>
      </c>
      <c r="AF11" s="33">
        <f t="shared" ca="1" si="20"/>
        <v>275.38034954914087</v>
      </c>
      <c r="AG11" s="160">
        <f t="shared" ca="1" si="21"/>
        <v>9.8761668438137278</v>
      </c>
      <c r="AH11" s="105">
        <f t="shared" ca="1" si="22"/>
        <v>5.0744525547445258</v>
      </c>
      <c r="AI11" s="113">
        <f t="shared" si="23"/>
        <v>0.33333333333333331</v>
      </c>
      <c r="AJ11" s="107">
        <f t="shared" ca="1" si="24"/>
        <v>49.325063501496594</v>
      </c>
      <c r="AK11" s="167">
        <f t="shared" ca="1" si="25"/>
        <v>1246</v>
      </c>
      <c r="AL11" s="170">
        <f t="shared" ca="1" si="26"/>
        <v>0.31437220246177416</v>
      </c>
      <c r="AM11" s="171">
        <f t="shared" si="27"/>
        <v>5.6849244990462143E-2</v>
      </c>
      <c r="AN11" s="171">
        <f t="shared" si="28"/>
        <v>5.0836899999999949E-3</v>
      </c>
      <c r="AO11" s="171">
        <f ca="1">IF(Reset,1,AJ11/100*(AI11^2+AL11^2/12)*AU11/1000)</f>
        <v>3.6677956701110674E-2</v>
      </c>
      <c r="AP11" s="171">
        <f ca="1">IF(Reset,1,(1-AJ11/100)*(AI11^2+AL11^2/12)*AU11/1000)</f>
        <v>3.7681717868791931E-2</v>
      </c>
      <c r="AQ11" s="171">
        <f t="shared" si="29"/>
        <v>1.5999999999999999E-3</v>
      </c>
      <c r="AR11" s="171">
        <f t="shared" si="30"/>
        <v>3.374244990462166E-3</v>
      </c>
      <c r="AS11" s="171">
        <f t="shared" ca="1" si="39"/>
        <v>0.14126685455082688</v>
      </c>
      <c r="AT11" s="34">
        <f ca="1">IF(Reset=1,150,AS11*Rth_typ+$A11)</f>
        <v>29.803073054728113</v>
      </c>
      <c r="AU11" s="172">
        <f t="shared" ca="1" si="31"/>
        <v>623.05475066269491</v>
      </c>
      <c r="AV11" s="172">
        <f t="shared" ca="1" si="32"/>
        <v>259.60614610945623</v>
      </c>
      <c r="AW11" s="173">
        <f t="shared" ca="1" si="33"/>
        <v>10.1161375006307</v>
      </c>
      <c r="AX11" s="108">
        <f t="shared" ca="1" si="34"/>
        <v>5.0744525547445258</v>
      </c>
    </row>
    <row r="12" spans="1:50" s="58" customFormat="1" ht="12.75" customHeight="1" x14ac:dyDescent="0.2">
      <c r="A12" s="27">
        <v>25</v>
      </c>
      <c r="B12" s="109">
        <f t="shared" si="0"/>
        <v>10.477499999999996</v>
      </c>
      <c r="C12" s="110">
        <f t="shared" si="1"/>
        <v>1</v>
      </c>
      <c r="D12" s="87">
        <f t="shared" ca="1" si="2"/>
        <v>55.614617121921128</v>
      </c>
      <c r="E12" s="155">
        <f t="shared" ca="1" si="3"/>
        <v>1089</v>
      </c>
      <c r="F12" s="100">
        <f t="shared" ca="1" si="4"/>
        <v>0.33901005562760073</v>
      </c>
      <c r="G12" s="31">
        <f t="shared" si="35"/>
        <v>5.5693124299912772E-2</v>
      </c>
      <c r="H12" s="31">
        <f t="shared" si="36"/>
        <v>1.4637067499999988E-2</v>
      </c>
      <c r="I12" s="31">
        <f ca="1">IF(Reset,1,D12/100*(C12^2+F12^2/12)*O12/1000)</f>
        <v>0.41194391473670267</v>
      </c>
      <c r="J12" s="31">
        <f ca="1">IF(Reset,1,(1-D12/100)*(C12^2+F12^2/12)*O12/1000)</f>
        <v>0.32876767522824973</v>
      </c>
      <c r="K12" s="31">
        <f t="shared" si="5"/>
        <v>4.7999999999999996E-3</v>
      </c>
      <c r="L12" s="31">
        <f t="shared" si="6"/>
        <v>3.305624299912796E-3</v>
      </c>
      <c r="M12" s="31">
        <f t="shared" ca="1" si="37"/>
        <v>0.81914740606477798</v>
      </c>
      <c r="N12" s="28">
        <f ca="1">IF(Reset=1,150,M12*Rth_typ+$A12)</f>
        <v>52.85101180620245</v>
      </c>
      <c r="O12" s="30">
        <f t="shared" ca="1" si="7"/>
        <v>733.68485666977176</v>
      </c>
      <c r="P12" s="30">
        <f t="shared" ca="1" si="8"/>
        <v>305.7020236124049</v>
      </c>
      <c r="Q12" s="29">
        <f t="shared" ca="1" si="9"/>
        <v>9.3671315596541742</v>
      </c>
      <c r="R12" s="100">
        <f t="shared" ca="1" si="10"/>
        <v>5.0744525547445258</v>
      </c>
      <c r="S12" s="111">
        <f t="shared" si="11"/>
        <v>0.66666666666666663</v>
      </c>
      <c r="T12" s="102">
        <f t="shared" ca="1" si="12"/>
        <v>52.629101374141882</v>
      </c>
      <c r="U12" s="157">
        <f t="shared" ca="1" si="13"/>
        <v>1164</v>
      </c>
      <c r="V12" s="103">
        <f t="shared" ca="1" si="14"/>
        <v>0.32166886649175513</v>
      </c>
      <c r="W12" s="112">
        <f t="shared" si="15"/>
        <v>5.5693124299912772E-2</v>
      </c>
      <c r="X12" s="112">
        <f t="shared" si="16"/>
        <v>9.7580449999999912E-3</v>
      </c>
      <c r="Y12" s="112">
        <f ca="1">IF(Reset,1,T12/100*(S12^2+V12^2/12)*AE12/1000)</f>
        <v>0.15751386308725648</v>
      </c>
      <c r="Z12" s="112">
        <f ca="1">IF(Reset,1,(1-T12/100)*(S12^2+V12^2/12)*AE12/1000)</f>
        <v>0.1417765655436366</v>
      </c>
      <c r="AA12" s="112">
        <f t="shared" si="17"/>
        <v>3.1999999999999997E-3</v>
      </c>
      <c r="AB12" s="112">
        <f t="shared" si="18"/>
        <v>3.305624299912796E-3</v>
      </c>
      <c r="AC12" s="112">
        <f t="shared" ca="1" si="38"/>
        <v>0.3712472222307186</v>
      </c>
      <c r="AD12" s="32">
        <f ca="1">IF(Reset=1,150,AC12*Rth_typ+$A12)</f>
        <v>37.622405555844431</v>
      </c>
      <c r="AE12" s="33">
        <f t="shared" ca="1" si="19"/>
        <v>660.58754666805328</v>
      </c>
      <c r="AF12" s="33">
        <f t="shared" ca="1" si="20"/>
        <v>275.24481111168888</v>
      </c>
      <c r="AG12" s="160">
        <f t="shared" ca="1" si="21"/>
        <v>9.6662744042272379</v>
      </c>
      <c r="AH12" s="105">
        <f t="shared" ca="1" si="22"/>
        <v>5.0744525547445258</v>
      </c>
      <c r="AI12" s="113">
        <f t="shared" si="23"/>
        <v>0.33333333333333331</v>
      </c>
      <c r="AJ12" s="107">
        <f t="shared" ca="1" si="24"/>
        <v>50.368868912155143</v>
      </c>
      <c r="AK12" s="167">
        <f t="shared" ca="1" si="25"/>
        <v>1220</v>
      </c>
      <c r="AL12" s="170">
        <f t="shared" ca="1" si="26"/>
        <v>0.30857589646365041</v>
      </c>
      <c r="AM12" s="171">
        <f t="shared" si="27"/>
        <v>5.5693124299912772E-2</v>
      </c>
      <c r="AN12" s="171">
        <f t="shared" si="28"/>
        <v>4.8790224999999956E-3</v>
      </c>
      <c r="AO12" s="171">
        <f ca="1">IF(Reset,1,AJ12/100*(AI12^2+AL12^2/12)*AU12/1000)</f>
        <v>3.7343560879430422E-2</v>
      </c>
      <c r="AP12" s="171">
        <f ca="1">IF(Reset,1,(1-AJ12/100)*(AI12^2+AL12^2/12)*AU12/1000)</f>
        <v>3.6796600863249852E-2</v>
      </c>
      <c r="AQ12" s="171">
        <f t="shared" si="29"/>
        <v>1.5999999999999999E-3</v>
      </c>
      <c r="AR12" s="171">
        <f t="shared" si="30"/>
        <v>3.305624299912796E-3</v>
      </c>
      <c r="AS12" s="171">
        <f t="shared" ca="1" si="39"/>
        <v>0.13961793284250582</v>
      </c>
      <c r="AT12" s="34">
        <f ca="1">IF(Reset=1,150,AS12*Rth_typ+$A12)</f>
        <v>29.747009716645199</v>
      </c>
      <c r="AU12" s="172">
        <f t="shared" ca="1" si="31"/>
        <v>622.78564663989698</v>
      </c>
      <c r="AV12" s="172">
        <f t="shared" ca="1" si="32"/>
        <v>259.49401943329042</v>
      </c>
      <c r="AW12" s="173">
        <f t="shared" ca="1" si="33"/>
        <v>9.9061204228950377</v>
      </c>
      <c r="AX12" s="108">
        <f t="shared" ca="1" si="34"/>
        <v>5.0744525547445258</v>
      </c>
    </row>
    <row r="13" spans="1:50" s="58" customFormat="1" ht="12.75" customHeight="1" x14ac:dyDescent="0.2">
      <c r="A13" s="96">
        <v>25</v>
      </c>
      <c r="B13" s="97">
        <f t="shared" si="0"/>
        <v>10.259999999999996</v>
      </c>
      <c r="C13" s="98">
        <f t="shared" si="1"/>
        <v>1</v>
      </c>
      <c r="D13" s="87">
        <f t="shared" ca="1" si="2"/>
        <v>56.880041806068803</v>
      </c>
      <c r="E13" s="155">
        <f t="shared" ca="1" si="3"/>
        <v>1057</v>
      </c>
      <c r="F13" s="100">
        <f t="shared" ca="1" si="4"/>
        <v>0.33266604136593603</v>
      </c>
      <c r="G13" s="29">
        <f t="shared" si="35"/>
        <v>5.4537003609363408E-2</v>
      </c>
      <c r="H13" s="29">
        <f t="shared" si="36"/>
        <v>1.4035679999999991E-2</v>
      </c>
      <c r="I13" s="29">
        <f ca="1">IF(Reset,1,D13/100*(C13^2+F13^2/12)*O13/1000)</f>
        <v>0.42093484091897798</v>
      </c>
      <c r="J13" s="29">
        <f ca="1">IF(Reset,1,(1-D13/100)*(C13^2+F13^2/12)*O13/1000)</f>
        <v>0.31910477148873723</v>
      </c>
      <c r="K13" s="29">
        <f t="shared" si="5"/>
        <v>4.7999999999999996E-3</v>
      </c>
      <c r="L13" s="29">
        <f t="shared" si="6"/>
        <v>3.2370036093634252E-3</v>
      </c>
      <c r="M13" s="29">
        <f t="shared" ca="1" si="37"/>
        <v>0.81664929962644206</v>
      </c>
      <c r="N13" s="28">
        <f ca="1">IF(Reset=1,150,M13*Rth_typ+$A13)</f>
        <v>52.766076187299035</v>
      </c>
      <c r="O13" s="28">
        <f t="shared" ca="1" si="7"/>
        <v>733.27716569903532</v>
      </c>
      <c r="P13" s="28">
        <f t="shared" ca="1" si="8"/>
        <v>305.53215237459807</v>
      </c>
      <c r="Q13" s="29">
        <f t="shared" ca="1" si="9"/>
        <v>9.157426164753991</v>
      </c>
      <c r="R13" s="100">
        <f t="shared" ca="1" si="10"/>
        <v>5.0744525547445258</v>
      </c>
      <c r="S13" s="101">
        <f t="shared" si="11"/>
        <v>0.66666666666666663</v>
      </c>
      <c r="T13" s="102">
        <f t="shared" ca="1" si="12"/>
        <v>53.792645326188669</v>
      </c>
      <c r="U13" s="157">
        <f t="shared" ca="1" si="13"/>
        <v>1135</v>
      </c>
      <c r="V13" s="103">
        <f t="shared" ca="1" si="14"/>
        <v>0.31548548054197223</v>
      </c>
      <c r="W13" s="47">
        <f t="shared" si="15"/>
        <v>5.4537003609363408E-2</v>
      </c>
      <c r="X13" s="47">
        <f t="shared" si="16"/>
        <v>9.3571199999999931E-3</v>
      </c>
      <c r="Y13" s="47">
        <f ca="1">IF(Reset,1,T13/100*(S13^2+V13^2/12)*AE13/1000)</f>
        <v>0.16080049701964388</v>
      </c>
      <c r="Z13" s="47">
        <f ca="1">IF(Reset,1,(1-T13/100)*(S13^2+V13^2/12)*AE13/1000)</f>
        <v>0.13812604961991876</v>
      </c>
      <c r="AA13" s="47">
        <f t="shared" si="17"/>
        <v>3.1999999999999997E-3</v>
      </c>
      <c r="AB13" s="47">
        <f t="shared" si="18"/>
        <v>3.2370036093634252E-3</v>
      </c>
      <c r="AC13" s="47">
        <f t="shared" ca="1" si="38"/>
        <v>0.36925767385828945</v>
      </c>
      <c r="AD13" s="32">
        <f ca="1">IF(Reset=1,150,AC13*Rth_typ+$A13)</f>
        <v>37.554760911181845</v>
      </c>
      <c r="AE13" s="104">
        <f t="shared" ca="1" si="19"/>
        <v>660.2628523736729</v>
      </c>
      <c r="AF13" s="104">
        <f t="shared" ca="1" si="20"/>
        <v>275.10952182236372</v>
      </c>
      <c r="AG13" s="160">
        <f t="shared" ca="1" si="21"/>
        <v>9.4563815739100434</v>
      </c>
      <c r="AH13" s="105">
        <f t="shared" ca="1" si="22"/>
        <v>5.0744525547445258</v>
      </c>
      <c r="AI13" s="106">
        <f t="shared" si="23"/>
        <v>0.33333333333333331</v>
      </c>
      <c r="AJ13" s="107">
        <f t="shared" ca="1" si="24"/>
        <v>51.457824113083205</v>
      </c>
      <c r="AK13" s="167">
        <f t="shared" ca="1" si="25"/>
        <v>1193</v>
      </c>
      <c r="AL13" s="170">
        <f t="shared" ca="1" si="26"/>
        <v>0.30252906766432175</v>
      </c>
      <c r="AM13" s="173">
        <f t="shared" si="27"/>
        <v>5.4537003609363408E-2</v>
      </c>
      <c r="AN13" s="173">
        <f t="shared" si="28"/>
        <v>4.6785599999999965E-3</v>
      </c>
      <c r="AO13" s="173">
        <f ca="1">IF(Reset,1,AJ13/100*(AI13^2+AL13^2/12)*AU13/1000)</f>
        <v>3.8035786366354109E-2</v>
      </c>
      <c r="AP13" s="173">
        <f ca="1">IF(Reset,1,(1-AJ13/100)*(AI13^2+AL13^2/12)*AU13/1000)</f>
        <v>3.5880643296056489E-2</v>
      </c>
      <c r="AQ13" s="173">
        <f t="shared" si="29"/>
        <v>1.5999999999999999E-3</v>
      </c>
      <c r="AR13" s="173">
        <f t="shared" si="30"/>
        <v>3.2370036093634252E-3</v>
      </c>
      <c r="AS13" s="173">
        <f t="shared" ca="1" si="39"/>
        <v>0.13796899688113742</v>
      </c>
      <c r="AT13" s="34">
        <f ca="1">IF(Reset=1,150,AS13*Rth_typ+$A13)</f>
        <v>29.690945893958673</v>
      </c>
      <c r="AU13" s="34">
        <f t="shared" ca="1" si="31"/>
        <v>622.51654029100166</v>
      </c>
      <c r="AV13" s="34">
        <f t="shared" ca="1" si="32"/>
        <v>259.38189178791737</v>
      </c>
      <c r="AW13" s="173">
        <f t="shared" ca="1" si="33"/>
        <v>9.6961033459193633</v>
      </c>
      <c r="AX13" s="108">
        <f t="shared" ca="1" si="34"/>
        <v>5.0744525547445258</v>
      </c>
    </row>
    <row r="14" spans="1:50" s="58" customFormat="1" ht="12.75" customHeight="1" x14ac:dyDescent="0.2">
      <c r="A14" s="27">
        <v>25</v>
      </c>
      <c r="B14" s="109">
        <f t="shared" si="0"/>
        <v>10.042499999999997</v>
      </c>
      <c r="C14" s="110">
        <f t="shared" si="1"/>
        <v>1</v>
      </c>
      <c r="D14" s="87">
        <f t="shared" ca="1" si="2"/>
        <v>58.204496743128232</v>
      </c>
      <c r="E14" s="155">
        <f t="shared" ca="1" si="3"/>
        <v>1024</v>
      </c>
      <c r="F14" s="100">
        <f t="shared" ca="1" si="4"/>
        <v>0.32602718861454527</v>
      </c>
      <c r="G14" s="31">
        <f t="shared" si="35"/>
        <v>5.3380882918814043E-2</v>
      </c>
      <c r="H14" s="31">
        <f t="shared" si="36"/>
        <v>1.3446907499999992E-2</v>
      </c>
      <c r="I14" s="31">
        <f ca="1">IF(Reset,1,D14/100*(C14^2+F14^2/12)*O14/1000)</f>
        <v>0.43034210053220684</v>
      </c>
      <c r="J14" s="31">
        <f ca="1">IF(Reset,1,(1-D14/100)*(C14^2+F14^2/12)*O14/1000)</f>
        <v>0.30902019037706746</v>
      </c>
      <c r="K14" s="31">
        <f t="shared" si="5"/>
        <v>4.7999999999999996E-3</v>
      </c>
      <c r="L14" s="31">
        <f t="shared" si="6"/>
        <v>3.1683829188140543E-3</v>
      </c>
      <c r="M14" s="31">
        <f t="shared" ca="1" si="37"/>
        <v>0.81415846424690241</v>
      </c>
      <c r="N14" s="28">
        <f ca="1">IF(Reset=1,150,M14*Rth_typ+$A14)</f>
        <v>52.681387784394687</v>
      </c>
      <c r="O14" s="30">
        <f t="shared" ca="1" si="7"/>
        <v>732.87066136509452</v>
      </c>
      <c r="P14" s="30">
        <f t="shared" ca="1" si="8"/>
        <v>305.3627755687894</v>
      </c>
      <c r="Q14" s="29">
        <f t="shared" ca="1" si="9"/>
        <v>8.9477196067519778</v>
      </c>
      <c r="R14" s="100">
        <f t="shared" ca="1" si="10"/>
        <v>5.0744525547445258</v>
      </c>
      <c r="S14" s="111">
        <f t="shared" si="11"/>
        <v>0.66666666666666663</v>
      </c>
      <c r="T14" s="102">
        <f t="shared" ca="1" si="12"/>
        <v>55.008850008900765</v>
      </c>
      <c r="U14" s="157">
        <f t="shared" ca="1" si="13"/>
        <v>1104</v>
      </c>
      <c r="V14" s="103">
        <f t="shared" ca="1" si="14"/>
        <v>0.30902278113420917</v>
      </c>
      <c r="W14" s="112">
        <f t="shared" si="15"/>
        <v>5.3380882918814043E-2</v>
      </c>
      <c r="X14" s="112">
        <f t="shared" si="16"/>
        <v>8.9646049999999953E-3</v>
      </c>
      <c r="Y14" s="112">
        <f ca="1">IF(Reset,1,T14/100*(S14^2+V14^2/12)*AE14/1000)</f>
        <v>0.16423324032009157</v>
      </c>
      <c r="Z14" s="112">
        <f ca="1">IF(Reset,1,(1-T14/100)*(S14^2+V14^2/12)*AE14/1000)</f>
        <v>0.13432461045031649</v>
      </c>
      <c r="AA14" s="112">
        <f t="shared" si="17"/>
        <v>3.1999999999999997E-3</v>
      </c>
      <c r="AB14" s="112">
        <f t="shared" si="18"/>
        <v>3.1683829188140543E-3</v>
      </c>
      <c r="AC14" s="112">
        <f t="shared" ca="1" si="38"/>
        <v>0.36727172160803612</v>
      </c>
      <c r="AD14" s="32">
        <f ca="1">IF(Reset=1,150,AC14*Rth_typ+$A14)</f>
        <v>37.487238534673224</v>
      </c>
      <c r="AE14" s="33">
        <f t="shared" ca="1" si="19"/>
        <v>659.9387449664315</v>
      </c>
      <c r="AF14" s="33">
        <f t="shared" ca="1" si="20"/>
        <v>274.97447706934645</v>
      </c>
      <c r="AG14" s="160">
        <f t="shared" ca="1" si="21"/>
        <v>9.246488360094709</v>
      </c>
      <c r="AH14" s="105">
        <f t="shared" ca="1" si="22"/>
        <v>5.0744525547445258</v>
      </c>
      <c r="AI14" s="113">
        <f t="shared" si="23"/>
        <v>0.33333333333333331</v>
      </c>
      <c r="AJ14" s="107">
        <f t="shared" ca="1" si="24"/>
        <v>52.59492327342209</v>
      </c>
      <c r="AK14" s="167">
        <f t="shared" ca="1" si="25"/>
        <v>1165</v>
      </c>
      <c r="AL14" s="170">
        <f t="shared" ca="1" si="26"/>
        <v>0.29621510210808488</v>
      </c>
      <c r="AM14" s="171">
        <f t="shared" si="27"/>
        <v>5.3380882918814043E-2</v>
      </c>
      <c r="AN14" s="171">
        <f t="shared" si="28"/>
        <v>4.4823024999999976E-3</v>
      </c>
      <c r="AO14" s="171">
        <f ca="1">IF(Reset,1,AJ14/100*(AI14^2+AL14^2/12)*AU14/1000)</f>
        <v>3.8756380727043516E-2</v>
      </c>
      <c r="AP14" s="171">
        <f ca="1">IF(Reset,1,(1-AJ14/100)*(AI14^2+AL14^2/12)*AU14/1000)</f>
        <v>3.4932063546490318E-2</v>
      </c>
      <c r="AQ14" s="171">
        <f t="shared" si="29"/>
        <v>1.5999999999999999E-3</v>
      </c>
      <c r="AR14" s="171">
        <f t="shared" si="30"/>
        <v>3.1683829188140543E-3</v>
      </c>
      <c r="AS14" s="171">
        <f t="shared" ca="1" si="39"/>
        <v>0.13632001261116192</v>
      </c>
      <c r="AT14" s="34">
        <f ca="1">IF(Reset=1,150,AS14*Rth_typ+$A14)</f>
        <v>29.634880428779503</v>
      </c>
      <c r="AU14" s="172">
        <f t="shared" ca="1" si="31"/>
        <v>622.24742605814163</v>
      </c>
      <c r="AV14" s="172">
        <f t="shared" ca="1" si="32"/>
        <v>259.26976085755899</v>
      </c>
      <c r="AW14" s="173">
        <f t="shared" ca="1" si="33"/>
        <v>9.4860862715195555</v>
      </c>
      <c r="AX14" s="108">
        <f t="shared" ca="1" si="34"/>
        <v>5.0744525547445258</v>
      </c>
    </row>
    <row r="15" spans="1:50" s="58" customFormat="1" ht="12.75" customHeight="1" x14ac:dyDescent="0.2">
      <c r="A15" s="27">
        <v>25</v>
      </c>
      <c r="B15" s="109">
        <f t="shared" si="0"/>
        <v>9.8249999999999975</v>
      </c>
      <c r="C15" s="110">
        <f t="shared" si="1"/>
        <v>1</v>
      </c>
      <c r="D15" s="87">
        <f t="shared" ca="1" si="2"/>
        <v>59.592210458496638</v>
      </c>
      <c r="E15" s="155">
        <f t="shared" ca="1" si="3"/>
        <v>990</v>
      </c>
      <c r="F15" s="100">
        <f t="shared" ca="1" si="4"/>
        <v>0.31907237064686639</v>
      </c>
      <c r="G15" s="31">
        <f t="shared" si="35"/>
        <v>5.2224762228264672E-2</v>
      </c>
      <c r="H15" s="31">
        <f t="shared" si="36"/>
        <v>1.2870749999999995E-2</v>
      </c>
      <c r="I15" s="31">
        <f ca="1">IF(Reset,1,D15/100*(C15^2+F15^2/12)*O15/1000)</f>
        <v>0.44019544853223891</v>
      </c>
      <c r="J15" s="31">
        <f ca="1">IF(Reset,1,(1-D15/100)*(C15^2+F15^2/12)*O15/1000)</f>
        <v>0.29848406200348071</v>
      </c>
      <c r="K15" s="31">
        <f t="shared" si="5"/>
        <v>4.7999999999999996E-3</v>
      </c>
      <c r="L15" s="31">
        <f t="shared" si="6"/>
        <v>3.0997622282646839E-3</v>
      </c>
      <c r="M15" s="31">
        <f t="shared" ca="1" si="37"/>
        <v>0.8116747849922491</v>
      </c>
      <c r="N15" s="28">
        <f ca="1">IF(Reset=1,150,M15*Rth_typ+$A15)</f>
        <v>52.596942689736466</v>
      </c>
      <c r="O15" s="30">
        <f t="shared" ca="1" si="7"/>
        <v>732.46532491073503</v>
      </c>
      <c r="P15" s="30">
        <f t="shared" ca="1" si="8"/>
        <v>305.19388537947293</v>
      </c>
      <c r="Q15" s="29">
        <f t="shared" ca="1" si="9"/>
        <v>8.7380119040333284</v>
      </c>
      <c r="R15" s="100">
        <f t="shared" ca="1" si="10"/>
        <v>5.0744525547445258</v>
      </c>
      <c r="S15" s="111">
        <f t="shared" si="11"/>
        <v>0.66666666666666663</v>
      </c>
      <c r="T15" s="102">
        <f t="shared" ca="1" si="12"/>
        <v>56.28137306542434</v>
      </c>
      <c r="U15" s="157">
        <f t="shared" ca="1" si="13"/>
        <v>1072</v>
      </c>
      <c r="V15" s="103">
        <f t="shared" ca="1" si="14"/>
        <v>0.30226136612656906</v>
      </c>
      <c r="W15" s="112">
        <f t="shared" si="15"/>
        <v>5.2224762228264672E-2</v>
      </c>
      <c r="X15" s="112">
        <f t="shared" si="16"/>
        <v>8.5804999999999961E-3</v>
      </c>
      <c r="Y15" s="112">
        <f ca="1">IF(Reset,1,T15/100*(S15^2+V15^2/12)*AE15/1000)</f>
        <v>0.16782221575522296</v>
      </c>
      <c r="Z15" s="112">
        <f ca="1">IF(Reset,1,(1-T15/100)*(S15^2+V15^2/12)*AE15/1000)</f>
        <v>0.13036207971343564</v>
      </c>
      <c r="AA15" s="112">
        <f t="shared" si="17"/>
        <v>3.1999999999999997E-3</v>
      </c>
      <c r="AB15" s="112">
        <f t="shared" si="18"/>
        <v>3.0997622282646839E-3</v>
      </c>
      <c r="AC15" s="112">
        <f t="shared" ca="1" si="38"/>
        <v>0.36528931992518798</v>
      </c>
      <c r="AD15" s="32">
        <f ca="1">IF(Reset=1,150,AC15*Rth_typ+$A15)</f>
        <v>37.41983687745639</v>
      </c>
      <c r="AE15" s="33">
        <f t="shared" ca="1" si="19"/>
        <v>659.61521701179072</v>
      </c>
      <c r="AF15" s="33">
        <f t="shared" ca="1" si="20"/>
        <v>274.83967375491278</v>
      </c>
      <c r="AG15" s="160">
        <f t="shared" ca="1" si="21"/>
        <v>9.0365947676392917</v>
      </c>
      <c r="AH15" s="105">
        <f t="shared" ca="1" si="22"/>
        <v>5.0744525547445258</v>
      </c>
      <c r="AI15" s="113">
        <f t="shared" si="23"/>
        <v>0.33333333333333331</v>
      </c>
      <c r="AJ15" s="107">
        <f t="shared" ca="1" si="24"/>
        <v>53.783431308821029</v>
      </c>
      <c r="AK15" s="167">
        <f t="shared" ca="1" si="25"/>
        <v>1135</v>
      </c>
      <c r="AL15" s="170">
        <f t="shared" ca="1" si="26"/>
        <v>0.28961588365830931</v>
      </c>
      <c r="AM15" s="171">
        <f t="shared" si="27"/>
        <v>5.2224762228264672E-2</v>
      </c>
      <c r="AN15" s="171">
        <f t="shared" si="28"/>
        <v>4.2902499999999981E-3</v>
      </c>
      <c r="AO15" s="171">
        <f ca="1">IF(Reset,1,AJ15/100*(AI15^2+AL15^2/12)*AU15/1000)</f>
        <v>3.950726039587682E-2</v>
      </c>
      <c r="AP15" s="171">
        <f ca="1">IF(Reset,1,(1-AJ15/100)*(AI15^2+AL15^2/12)*AU15/1000)</f>
        <v>3.3948931287075969E-2</v>
      </c>
      <c r="AQ15" s="171">
        <f t="shared" si="29"/>
        <v>1.5999999999999999E-3</v>
      </c>
      <c r="AR15" s="171">
        <f t="shared" si="30"/>
        <v>3.0997622282646839E-3</v>
      </c>
      <c r="AS15" s="171">
        <f t="shared" ca="1" si="39"/>
        <v>0.13467096613948212</v>
      </c>
      <c r="AT15" s="34">
        <f ca="1">IF(Reset=1,150,AS15*Rth_typ+$A15)</f>
        <v>29.578812848742391</v>
      </c>
      <c r="AU15" s="172">
        <f t="shared" ca="1" si="31"/>
        <v>621.97830167396353</v>
      </c>
      <c r="AV15" s="172">
        <f t="shared" ca="1" si="32"/>
        <v>259.15762569748478</v>
      </c>
      <c r="AW15" s="173">
        <f t="shared" ca="1" si="33"/>
        <v>9.2760692004364103</v>
      </c>
      <c r="AX15" s="108">
        <f t="shared" ca="1" si="34"/>
        <v>5.0744525547445258</v>
      </c>
    </row>
    <row r="16" spans="1:50" s="58" customFormat="1" ht="12.75" customHeight="1" x14ac:dyDescent="0.2">
      <c r="A16" s="27">
        <v>25</v>
      </c>
      <c r="B16" s="109">
        <f t="shared" si="0"/>
        <v>9.6074999999999982</v>
      </c>
      <c r="C16" s="110">
        <f t="shared" si="1"/>
        <v>1</v>
      </c>
      <c r="D16" s="87">
        <f t="shared" ca="1" si="2"/>
        <v>61.047825302215053</v>
      </c>
      <c r="E16" s="155">
        <f t="shared" ca="1" si="3"/>
        <v>953</v>
      </c>
      <c r="F16" s="100">
        <f t="shared" ca="1" si="4"/>
        <v>0.31177839391477968</v>
      </c>
      <c r="G16" s="31">
        <f t="shared" si="35"/>
        <v>5.1068641537715308E-2</v>
      </c>
      <c r="H16" s="31">
        <f t="shared" si="36"/>
        <v>1.2307207499999995E-2</v>
      </c>
      <c r="I16" s="31">
        <f ca="1">IF(Reset,1,D16/100*(C16^2+F16^2/12)*O16/1000)</f>
        <v>0.45052757251909176</v>
      </c>
      <c r="J16" s="31">
        <f ca="1">IF(Reset,1,(1-D16/100)*(C16^2+F16^2/12)*O16/1000)</f>
        <v>0.28746361764824224</v>
      </c>
      <c r="K16" s="31">
        <f t="shared" si="5"/>
        <v>4.7999999999999996E-3</v>
      </c>
      <c r="L16" s="31">
        <f t="shared" si="6"/>
        <v>3.031141537715313E-3</v>
      </c>
      <c r="M16" s="31">
        <f t="shared" ca="1" si="37"/>
        <v>0.80919818074276462</v>
      </c>
      <c r="N16" s="28">
        <f ca="1">IF(Reset=1,150,M16*Rth_typ+$A16)</f>
        <v>52.512738145253998</v>
      </c>
      <c r="O16" s="30">
        <f t="shared" ca="1" si="7"/>
        <v>732.0611430972192</v>
      </c>
      <c r="P16" s="30">
        <f t="shared" ca="1" si="8"/>
        <v>305.02547629050798</v>
      </c>
      <c r="Q16" s="29">
        <f t="shared" ca="1" si="9"/>
        <v>8.528303069574207</v>
      </c>
      <c r="R16" s="100">
        <f t="shared" ca="1" si="10"/>
        <v>5.0744525547445258</v>
      </c>
      <c r="S16" s="111">
        <f t="shared" si="11"/>
        <v>0.66666666666666663</v>
      </c>
      <c r="T16" s="102">
        <f t="shared" ca="1" si="12"/>
        <v>57.614218934482771</v>
      </c>
      <c r="U16" s="157">
        <f t="shared" ca="1" si="13"/>
        <v>1039</v>
      </c>
      <c r="V16" s="103">
        <f t="shared" ca="1" si="14"/>
        <v>0.29517999416002844</v>
      </c>
      <c r="W16" s="112">
        <f t="shared" si="15"/>
        <v>5.1068641537715308E-2</v>
      </c>
      <c r="X16" s="112">
        <f t="shared" si="16"/>
        <v>8.2048049999999973E-3</v>
      </c>
      <c r="Y16" s="112">
        <f ca="1">IF(Reset,1,T16/100*(S16^2+V16^2/12)*AE16/1000)</f>
        <v>0.17157852221736045</v>
      </c>
      <c r="Z16" s="112">
        <f ca="1">IF(Reset,1,(1-T16/100)*(S16^2+V16^2/12)*AE16/1000)</f>
        <v>0.12622734131864372</v>
      </c>
      <c r="AA16" s="112">
        <f t="shared" si="17"/>
        <v>3.1999999999999997E-3</v>
      </c>
      <c r="AB16" s="112">
        <f t="shared" si="18"/>
        <v>3.031141537715313E-3</v>
      </c>
      <c r="AC16" s="112">
        <f t="shared" ca="1" si="38"/>
        <v>0.36331045161143477</v>
      </c>
      <c r="AD16" s="32">
        <f ca="1">IF(Reset=1,150,AC16*Rth_typ+$A16)</f>
        <v>37.352555354788784</v>
      </c>
      <c r="AE16" s="33">
        <f t="shared" ca="1" si="19"/>
        <v>659.29226570298613</v>
      </c>
      <c r="AF16" s="33">
        <f t="shared" ca="1" si="20"/>
        <v>274.70511070957758</v>
      </c>
      <c r="AG16" s="160">
        <f t="shared" ca="1" si="21"/>
        <v>8.8267007983778569</v>
      </c>
      <c r="AH16" s="105">
        <f t="shared" ca="1" si="22"/>
        <v>5.0744525547445258</v>
      </c>
      <c r="AI16" s="113">
        <f t="shared" si="23"/>
        <v>0.33333333333333331</v>
      </c>
      <c r="AJ16" s="107">
        <f t="shared" ca="1" si="24"/>
        <v>55.026915194245063</v>
      </c>
      <c r="AK16" s="167">
        <f t="shared" ca="1" si="25"/>
        <v>1104</v>
      </c>
      <c r="AL16" s="170">
        <f t="shared" ca="1" si="26"/>
        <v>0.28271162028912583</v>
      </c>
      <c r="AM16" s="171">
        <f t="shared" si="27"/>
        <v>5.1068641537715308E-2</v>
      </c>
      <c r="AN16" s="171">
        <f t="shared" si="28"/>
        <v>4.1024024999999987E-3</v>
      </c>
      <c r="AO16" s="171">
        <f ca="1">IF(Reset,1,AJ16/100*(AI16^2+AL16^2/12)*AU16/1000)</f>
        <v>4.029053299864805E-2</v>
      </c>
      <c r="AP16" s="171">
        <f ca="1">IF(Reset,1,(1-AJ16/100)*(AI16^2+AL16^2/12)*AU16/1000)</f>
        <v>3.2929150235315605E-2</v>
      </c>
      <c r="AQ16" s="171">
        <f t="shared" si="29"/>
        <v>1.5999999999999999E-3</v>
      </c>
      <c r="AR16" s="171">
        <f t="shared" si="30"/>
        <v>3.031141537715313E-3</v>
      </c>
      <c r="AS16" s="171">
        <f t="shared" ca="1" si="39"/>
        <v>0.13302186880939423</v>
      </c>
      <c r="AT16" s="34">
        <f ca="1">IF(Reset=1,150,AS16*Rth_typ+$A16)</f>
        <v>29.522743539519404</v>
      </c>
      <c r="AU16" s="172">
        <f t="shared" ca="1" si="31"/>
        <v>621.70916898969313</v>
      </c>
      <c r="AV16" s="172">
        <f t="shared" ca="1" si="32"/>
        <v>259.04548707903882</v>
      </c>
      <c r="AW16" s="173">
        <f t="shared" ca="1" si="33"/>
        <v>9.0660521320650869</v>
      </c>
      <c r="AX16" s="108">
        <f t="shared" ca="1" si="34"/>
        <v>5.0744525547445258</v>
      </c>
    </row>
    <row r="17" spans="1:50" s="58" customFormat="1" ht="12.75" customHeight="1" x14ac:dyDescent="0.2">
      <c r="A17" s="27">
        <v>25</v>
      </c>
      <c r="B17" s="109">
        <f t="shared" si="0"/>
        <v>9.3899999999999988</v>
      </c>
      <c r="C17" s="110">
        <f t="shared" si="1"/>
        <v>1</v>
      </c>
      <c r="D17" s="87">
        <f t="shared" ca="1" si="2"/>
        <v>62.576449358924485</v>
      </c>
      <c r="E17" s="155">
        <f t="shared" ca="1" si="3"/>
        <v>915</v>
      </c>
      <c r="F17" s="100">
        <f t="shared" ca="1" si="4"/>
        <v>0.30411973894814337</v>
      </c>
      <c r="G17" s="31">
        <f t="shared" si="35"/>
        <v>4.9912520847165943E-2</v>
      </c>
      <c r="H17" s="31">
        <f t="shared" si="36"/>
        <v>1.1756279999999999E-2</v>
      </c>
      <c r="I17" s="31">
        <f ca="1">IF(Reset,1,D17/100*(C17^2+F17^2/12)*O17/1000)</f>
        <v>0.46137446686937128</v>
      </c>
      <c r="J17" s="31">
        <f ca="1">IF(Reset,1,(1-D17/100)*(C17^2+F17^2/12)*O17/1000)</f>
        <v>0.27592282563604209</v>
      </c>
      <c r="K17" s="31">
        <f t="shared" si="5"/>
        <v>4.7999999999999996E-3</v>
      </c>
      <c r="L17" s="31">
        <f t="shared" si="6"/>
        <v>2.9625208471659422E-3</v>
      </c>
      <c r="M17" s="31">
        <f t="shared" ca="1" si="37"/>
        <v>0.80672861419974529</v>
      </c>
      <c r="N17" s="28">
        <f ca="1">IF(Reset=1,150,M17*Rth_typ+$A17)</f>
        <v>52.428772882791336</v>
      </c>
      <c r="O17" s="30">
        <f t="shared" ca="1" si="7"/>
        <v>731.65810983739834</v>
      </c>
      <c r="P17" s="30">
        <f t="shared" ca="1" si="8"/>
        <v>304.8575457655827</v>
      </c>
      <c r="Q17" s="29">
        <f t="shared" ca="1" si="9"/>
        <v>8.318593109341041</v>
      </c>
      <c r="R17" s="100">
        <f t="shared" ca="1" si="10"/>
        <v>5.0744525547445258</v>
      </c>
      <c r="S17" s="111">
        <f t="shared" si="11"/>
        <v>0.66666666666666663</v>
      </c>
      <c r="T17" s="102">
        <f t="shared" ca="1" si="12"/>
        <v>59.011780957159374</v>
      </c>
      <c r="U17" s="157">
        <f t="shared" ca="1" si="13"/>
        <v>1004</v>
      </c>
      <c r="V17" s="103">
        <f t="shared" ca="1" si="14"/>
        <v>0.28775536142214569</v>
      </c>
      <c r="W17" s="112">
        <f t="shared" si="15"/>
        <v>4.9912520847165943E-2</v>
      </c>
      <c r="X17" s="112">
        <f t="shared" si="16"/>
        <v>7.8375199999999989E-3</v>
      </c>
      <c r="Y17" s="112">
        <f ca="1">IF(Reset,1,T17/100*(S17^2+V17^2/12)*AE17/1000)</f>
        <v>0.17551435766299275</v>
      </c>
      <c r="Z17" s="112">
        <f ca="1">IF(Reset,1,(1-T17/100)*(S17^2+V17^2/12)*AE17/1000)</f>
        <v>0.12190821595906152</v>
      </c>
      <c r="AA17" s="112">
        <f t="shared" si="17"/>
        <v>3.1999999999999997E-3</v>
      </c>
      <c r="AB17" s="112">
        <f t="shared" si="18"/>
        <v>2.9625208471659422E-3</v>
      </c>
      <c r="AC17" s="112">
        <f t="shared" ca="1" si="38"/>
        <v>0.36133513531638611</v>
      </c>
      <c r="AD17" s="32">
        <f ca="1">IF(Reset=1,150,AC17*Rth_typ+$A17)</f>
        <v>37.28539460075713</v>
      </c>
      <c r="AE17" s="33">
        <f t="shared" ca="1" si="19"/>
        <v>658.96989408363424</v>
      </c>
      <c r="AF17" s="33">
        <f t="shared" ca="1" si="20"/>
        <v>274.57078920151423</v>
      </c>
      <c r="AG17" s="160">
        <f t="shared" ca="1" si="21"/>
        <v>8.6168064503215689</v>
      </c>
      <c r="AH17" s="105">
        <f t="shared" ca="1" si="22"/>
        <v>5.0744525547445258</v>
      </c>
      <c r="AI17" s="113">
        <f t="shared" si="23"/>
        <v>0.33333333333333331</v>
      </c>
      <c r="AJ17" s="107">
        <f t="shared" ca="1" si="24"/>
        <v>56.329279725888256</v>
      </c>
      <c r="AK17" s="167">
        <f t="shared" ca="1" si="25"/>
        <v>1071</v>
      </c>
      <c r="AL17" s="170">
        <f t="shared" ca="1" si="26"/>
        <v>0.27548064570051639</v>
      </c>
      <c r="AM17" s="171">
        <f t="shared" si="27"/>
        <v>4.9912520847165943E-2</v>
      </c>
      <c r="AN17" s="171">
        <f t="shared" si="28"/>
        <v>3.9187599999999994E-3</v>
      </c>
      <c r="AO17" s="171">
        <f ca="1">IF(Reset,1,AJ17/100*(AI17^2+AL17^2/12)*AU17/1000)</f>
        <v>4.1108523476572643E-2</v>
      </c>
      <c r="AP17" s="171">
        <f ca="1">IF(Reset,1,(1-AJ17/100)*(AI17^2+AL17^2/12)*AU17/1000)</f>
        <v>3.1870438222594374E-2</v>
      </c>
      <c r="AQ17" s="171">
        <f t="shared" si="29"/>
        <v>1.5999999999999999E-3</v>
      </c>
      <c r="AR17" s="171">
        <f t="shared" si="30"/>
        <v>2.9625208471659422E-3</v>
      </c>
      <c r="AS17" s="171">
        <f t="shared" ca="1" si="39"/>
        <v>0.13137276339349888</v>
      </c>
      <c r="AT17" s="34">
        <f ca="1">IF(Reset=1,150,AS17*Rth_typ+$A17)</f>
        <v>29.466673955378962</v>
      </c>
      <c r="AU17" s="172">
        <f t="shared" ca="1" si="31"/>
        <v>621.44003498581901</v>
      </c>
      <c r="AV17" s="172">
        <f t="shared" ca="1" si="32"/>
        <v>258.9333479107579</v>
      </c>
      <c r="AW17" s="173">
        <f t="shared" ca="1" si="33"/>
        <v>8.8560350641249101</v>
      </c>
      <c r="AX17" s="108">
        <f t="shared" ca="1" si="34"/>
        <v>5.0744525547445258</v>
      </c>
    </row>
    <row r="18" spans="1:50" s="58" customFormat="1" ht="12.75" customHeight="1" x14ac:dyDescent="0.2">
      <c r="A18" s="27">
        <v>25</v>
      </c>
      <c r="B18" s="109">
        <f t="shared" si="0"/>
        <v>9.1724999999999994</v>
      </c>
      <c r="C18" s="110">
        <f t="shared" si="1"/>
        <v>1</v>
      </c>
      <c r="D18" s="87">
        <f t="shared" ca="1" si="2"/>
        <v>64.183716376596763</v>
      </c>
      <c r="E18" s="155">
        <f t="shared" ca="1" si="3"/>
        <v>875</v>
      </c>
      <c r="F18" s="100">
        <f t="shared" ca="1" si="4"/>
        <v>0.29606826126577168</v>
      </c>
      <c r="G18" s="31">
        <f t="shared" si="35"/>
        <v>4.8756400156616572E-2</v>
      </c>
      <c r="H18" s="31">
        <f t="shared" si="36"/>
        <v>1.1217967499999999E-2</v>
      </c>
      <c r="I18" s="31">
        <f ca="1">IF(Reset,1,D18/100*(C18^2+F18^2/12)*O18/1000)</f>
        <v>0.47277586623708501</v>
      </c>
      <c r="J18" s="31">
        <f ca="1">IF(Reset,1,(1-D18/100)*(C18^2+F18^2/12)*O18/1000)</f>
        <v>0.26382197029684418</v>
      </c>
      <c r="K18" s="31">
        <f t="shared" si="5"/>
        <v>4.7999999999999996E-3</v>
      </c>
      <c r="L18" s="31">
        <f t="shared" si="6"/>
        <v>2.8939001566165717E-3</v>
      </c>
      <c r="M18" s="31">
        <f t="shared" ca="1" si="37"/>
        <v>0.80426610434716239</v>
      </c>
      <c r="N18" s="28">
        <f ca="1">IF(Reset=1,150,M18*Rth_typ+$A18)</f>
        <v>52.345047547803517</v>
      </c>
      <c r="O18" s="30">
        <f t="shared" ca="1" si="7"/>
        <v>731.25622822945684</v>
      </c>
      <c r="P18" s="30">
        <f t="shared" ca="1" si="8"/>
        <v>304.69009509560703</v>
      </c>
      <c r="Q18" s="29">
        <f t="shared" ca="1" si="9"/>
        <v>8.1088820202970933</v>
      </c>
      <c r="R18" s="100">
        <f t="shared" ca="1" si="10"/>
        <v>5.0744525547445258</v>
      </c>
      <c r="S18" s="111">
        <f t="shared" si="11"/>
        <v>0.66666666666666663</v>
      </c>
      <c r="T18" s="102">
        <f t="shared" ca="1" si="12"/>
        <v>60.478889772976714</v>
      </c>
      <c r="U18" s="157">
        <f t="shared" ca="1" si="13"/>
        <v>968</v>
      </c>
      <c r="V18" s="103">
        <f t="shared" ca="1" si="14"/>
        <v>0.27996184508301047</v>
      </c>
      <c r="W18" s="112">
        <f t="shared" si="15"/>
        <v>4.8756400156616572E-2</v>
      </c>
      <c r="X18" s="112">
        <f t="shared" si="16"/>
        <v>7.478644999999999E-3</v>
      </c>
      <c r="Y18" s="112">
        <f ca="1">IF(Reset,1,T18/100*(S18^2+V18^2/12)*AE18/1000)</f>
        <v>0.17964316146377204</v>
      </c>
      <c r="Z18" s="112">
        <f ca="1">IF(Reset,1,(1-T18/100)*(S18^2+V18^2/12)*AE18/1000)</f>
        <v>0.11739132798884439</v>
      </c>
      <c r="AA18" s="112">
        <f t="shared" si="17"/>
        <v>3.1999999999999997E-3</v>
      </c>
      <c r="AB18" s="112">
        <f t="shared" si="18"/>
        <v>2.8939001566165717E-3</v>
      </c>
      <c r="AC18" s="112">
        <f t="shared" ca="1" si="38"/>
        <v>0.35936343476584953</v>
      </c>
      <c r="AD18" s="32">
        <f ca="1">IF(Reset=1,150,AC18*Rth_typ+$A18)</f>
        <v>37.218356782038882</v>
      </c>
      <c r="AE18" s="33">
        <f t="shared" ca="1" si="19"/>
        <v>658.64811255378663</v>
      </c>
      <c r="AF18" s="33">
        <f t="shared" ca="1" si="20"/>
        <v>274.43671356407776</v>
      </c>
      <c r="AG18" s="160">
        <f t="shared" ca="1" si="21"/>
        <v>8.4069117166745748</v>
      </c>
      <c r="AH18" s="105">
        <f t="shared" ca="1" si="22"/>
        <v>5.0744525547445258</v>
      </c>
      <c r="AI18" s="113">
        <f t="shared" si="23"/>
        <v>0.33333333333333331</v>
      </c>
      <c r="AJ18" s="107">
        <f t="shared" ca="1" si="24"/>
        <v>57.694808487703327</v>
      </c>
      <c r="AK18" s="167">
        <f t="shared" ca="1" si="25"/>
        <v>1037</v>
      </c>
      <c r="AL18" s="170">
        <f t="shared" ca="1" si="26"/>
        <v>0.2678991920675049</v>
      </c>
      <c r="AM18" s="171">
        <f t="shared" si="27"/>
        <v>4.8756400156616572E-2</v>
      </c>
      <c r="AN18" s="171">
        <f t="shared" si="28"/>
        <v>3.7393224999999995E-3</v>
      </c>
      <c r="AO18" s="171">
        <f ca="1">IF(Reset,1,AJ18/100*(AI18^2+AL18^2/12)*AU18/1000)</f>
        <v>4.1963804807133506E-2</v>
      </c>
      <c r="AP18" s="171">
        <f ca="1">IF(Reset,1,(1-AJ18/100)*(AI18^2+AL18^2/12)*AU18/1000)</f>
        <v>3.0770304044406192E-2</v>
      </c>
      <c r="AQ18" s="171">
        <f t="shared" si="29"/>
        <v>1.5999999999999999E-3</v>
      </c>
      <c r="AR18" s="171">
        <f t="shared" si="30"/>
        <v>2.8939001566165717E-3</v>
      </c>
      <c r="AS18" s="171">
        <f t="shared" ca="1" si="39"/>
        <v>0.12972373166477286</v>
      </c>
      <c r="AT18" s="34">
        <f ca="1">IF(Reset=1,150,AS18*Rth_typ+$A18)</f>
        <v>29.410606876602277</v>
      </c>
      <c r="AU18" s="172">
        <f t="shared" ca="1" si="31"/>
        <v>621.17091300769096</v>
      </c>
      <c r="AV18" s="172">
        <f t="shared" ca="1" si="32"/>
        <v>258.82121375320457</v>
      </c>
      <c r="AW18" s="173">
        <f t="shared" ca="1" si="33"/>
        <v>8.6460179922556541</v>
      </c>
      <c r="AX18" s="108">
        <f t="shared" ca="1" si="34"/>
        <v>5.0744525547445258</v>
      </c>
    </row>
    <row r="19" spans="1:50" s="58" customFormat="1" ht="12.75" customHeight="1" x14ac:dyDescent="0.2">
      <c r="A19" s="27">
        <v>25</v>
      </c>
      <c r="B19" s="109">
        <f t="shared" si="0"/>
        <v>8.9550000000000001</v>
      </c>
      <c r="C19" s="110">
        <f t="shared" si="1"/>
        <v>1</v>
      </c>
      <c r="D19" s="87">
        <f t="shared" ca="1" si="2"/>
        <v>65.875855198345405</v>
      </c>
      <c r="E19" s="155">
        <f t="shared" ca="1" si="3"/>
        <v>833</v>
      </c>
      <c r="F19" s="100">
        <f t="shared" ca="1" si="4"/>
        <v>0.28759284490465831</v>
      </c>
      <c r="G19" s="31">
        <f t="shared" si="35"/>
        <v>4.7600279466067194E-2</v>
      </c>
      <c r="H19" s="31">
        <f t="shared" si="36"/>
        <v>1.069227E-2</v>
      </c>
      <c r="I19" s="31">
        <f ca="1">IF(Reset,1,D19/100*(C19^2+F19^2/12)*O19/1000)</f>
        <v>0.48477574982378469</v>
      </c>
      <c r="J19" s="31">
        <f ca="1">IF(Reset,1,(1-D19/100)*(C19^2+F19^2/12)*O19/1000)</f>
        <v>0.2511171632384821</v>
      </c>
      <c r="K19" s="31">
        <f t="shared" si="5"/>
        <v>4.7999999999999996E-3</v>
      </c>
      <c r="L19" s="31">
        <f t="shared" si="6"/>
        <v>2.8252794660672009E-3</v>
      </c>
      <c r="M19" s="31">
        <f t="shared" ca="1" si="37"/>
        <v>0.80181074199440128</v>
      </c>
      <c r="N19" s="28">
        <f ca="1">IF(Reset=1,150,M19*Rth_typ+$A19)</f>
        <v>52.261565227809641</v>
      </c>
      <c r="O19" s="30">
        <f t="shared" ca="1" si="7"/>
        <v>730.85551309348625</v>
      </c>
      <c r="P19" s="30">
        <f t="shared" ca="1" si="8"/>
        <v>304.52313045561925</v>
      </c>
      <c r="Q19" s="29">
        <f t="shared" ca="1" si="9"/>
        <v>7.8991697879162004</v>
      </c>
      <c r="R19" s="100">
        <f t="shared" ca="1" si="10"/>
        <v>5.0744525547445258</v>
      </c>
      <c r="S19" s="111">
        <f t="shared" si="11"/>
        <v>0.66666666666666663</v>
      </c>
      <c r="T19" s="102">
        <f t="shared" ca="1" si="12"/>
        <v>62.020869129622717</v>
      </c>
      <c r="U19" s="157">
        <f t="shared" ca="1" si="13"/>
        <v>929</v>
      </c>
      <c r="V19" s="103">
        <f t="shared" ca="1" si="14"/>
        <v>0.27177120744913746</v>
      </c>
      <c r="W19" s="112">
        <f t="shared" si="15"/>
        <v>4.7600279466067194E-2</v>
      </c>
      <c r="X19" s="112">
        <f t="shared" si="16"/>
        <v>7.1281799999999996E-3</v>
      </c>
      <c r="Y19" s="112">
        <f ca="1">IF(Reset,1,T19/100*(S19^2+V19^2/12)*AE19/1000)</f>
        <v>0.18397977990273581</v>
      </c>
      <c r="Z19" s="112">
        <f ca="1">IF(Reset,1,(1-T19/100)*(S19^2+V19^2/12)*AE19/1000)</f>
        <v>0.11266195131554291</v>
      </c>
      <c r="AA19" s="112">
        <f t="shared" si="17"/>
        <v>3.1999999999999997E-3</v>
      </c>
      <c r="AB19" s="112">
        <f t="shared" si="18"/>
        <v>2.8252794660672009E-3</v>
      </c>
      <c r="AC19" s="112">
        <f t="shared" ca="1" si="38"/>
        <v>0.35739547015041312</v>
      </c>
      <c r="AD19" s="32">
        <f ca="1">IF(Reset=1,150,AC19*Rth_typ+$A19)</f>
        <v>37.151445985114044</v>
      </c>
      <c r="AE19" s="33">
        <f t="shared" ca="1" si="19"/>
        <v>658.32694072854747</v>
      </c>
      <c r="AF19" s="33">
        <f t="shared" ca="1" si="20"/>
        <v>274.30289197022807</v>
      </c>
      <c r="AG19" s="160">
        <f t="shared" ca="1" si="21"/>
        <v>8.1970165846194902</v>
      </c>
      <c r="AH19" s="105">
        <f t="shared" ca="1" si="22"/>
        <v>5.0744525547445258</v>
      </c>
      <c r="AI19" s="113">
        <f t="shared" si="23"/>
        <v>0.33333333333333331</v>
      </c>
      <c r="AJ19" s="107">
        <f t="shared" ca="1" si="24"/>
        <v>59.128210928356239</v>
      </c>
      <c r="AK19" s="167">
        <f t="shared" ca="1" si="25"/>
        <v>1001</v>
      </c>
      <c r="AL19" s="170">
        <f t="shared" ca="1" si="26"/>
        <v>0.25994112890103704</v>
      </c>
      <c r="AM19" s="171">
        <f t="shared" si="27"/>
        <v>4.7600279466067194E-2</v>
      </c>
      <c r="AN19" s="171">
        <f t="shared" si="28"/>
        <v>3.5640899999999998E-3</v>
      </c>
      <c r="AO19" s="171">
        <f ca="1">IF(Reset,1,AJ19/100*(AI19^2+AL19^2/12)*AU19/1000)</f>
        <v>4.2859234313741258E-2</v>
      </c>
      <c r="AP19" s="171">
        <f ca="1">IF(Reset,1,(1-AJ19/100)*(AI19^2+AL19^2/12)*AU19/1000)</f>
        <v>2.9626020424766596E-2</v>
      </c>
      <c r="AQ19" s="171">
        <f t="shared" si="29"/>
        <v>1.5999999999999999E-3</v>
      </c>
      <c r="AR19" s="171">
        <f t="shared" si="30"/>
        <v>2.8252794660672009E-3</v>
      </c>
      <c r="AS19" s="171">
        <f t="shared" ca="1" si="39"/>
        <v>0.12807490367064225</v>
      </c>
      <c r="AT19" s="34">
        <f ca="1">IF(Reset=1,150,AS19*Rth_typ+$A19)</f>
        <v>29.354546724801835</v>
      </c>
      <c r="AU19" s="172">
        <f t="shared" ca="1" si="31"/>
        <v>620.90182427904881</v>
      </c>
      <c r="AV19" s="172">
        <f t="shared" ca="1" si="32"/>
        <v>258.70909344960364</v>
      </c>
      <c r="AW19" s="173">
        <f t="shared" ca="1" si="33"/>
        <v>8.4360009095230506</v>
      </c>
      <c r="AX19" s="108">
        <f t="shared" ca="1" si="34"/>
        <v>5.0744525547445258</v>
      </c>
    </row>
    <row r="20" spans="1:50" s="58" customFormat="1" ht="12.75" customHeight="1" x14ac:dyDescent="0.2">
      <c r="A20" s="27">
        <v>25</v>
      </c>
      <c r="B20" s="109">
        <f t="shared" si="0"/>
        <v>8.7375000000000007</v>
      </c>
      <c r="C20" s="110">
        <f t="shared" si="1"/>
        <v>1</v>
      </c>
      <c r="D20" s="87">
        <f t="shared" ca="1" si="2"/>
        <v>67.659770504426987</v>
      </c>
      <c r="E20" s="155">
        <f t="shared" ca="1" si="3"/>
        <v>788</v>
      </c>
      <c r="F20" s="100">
        <f t="shared" ca="1" si="4"/>
        <v>0.2786589995688335</v>
      </c>
      <c r="G20" s="31">
        <f t="shared" si="35"/>
        <v>4.644415877551783E-2</v>
      </c>
      <c r="H20" s="31">
        <f t="shared" si="36"/>
        <v>1.0179187500000002E-2</v>
      </c>
      <c r="I20" s="31">
        <f ca="1">IF(Reset,1,D20/100*(C20^2+F20^2/12)*O20/1000)</f>
        <v>0.49742293041588792</v>
      </c>
      <c r="J20" s="31">
        <f ca="1">IF(Reset,1,(1-D20/100)*(C20^2+F20^2/12)*O20/1000)</f>
        <v>0.23775977373375368</v>
      </c>
      <c r="K20" s="31">
        <f t="shared" si="5"/>
        <v>4.7999999999999996E-3</v>
      </c>
      <c r="L20" s="31">
        <f t="shared" si="6"/>
        <v>2.7566587755178304E-3</v>
      </c>
      <c r="M20" s="31">
        <f t="shared" ca="1" si="37"/>
        <v>0.7993627092006772</v>
      </c>
      <c r="N20" s="28">
        <f ca="1">IF(Reset=1,150,M20*Rth_typ+$A20)</f>
        <v>52.178332112823028</v>
      </c>
      <c r="O20" s="30">
        <f t="shared" ca="1" si="7"/>
        <v>730.45599414155049</v>
      </c>
      <c r="P20" s="30">
        <f t="shared" ca="1" si="8"/>
        <v>304.35666422564606</v>
      </c>
      <c r="Q20" s="29">
        <f t="shared" ca="1" si="9"/>
        <v>7.6894563830755907</v>
      </c>
      <c r="R20" s="100">
        <f t="shared" ca="1" si="10"/>
        <v>5.0744525547445258</v>
      </c>
      <c r="S20" s="111">
        <f t="shared" si="11"/>
        <v>0.66666666666666663</v>
      </c>
      <c r="T20" s="102">
        <f t="shared" ca="1" si="12"/>
        <v>63.64360046651894</v>
      </c>
      <c r="U20" s="157">
        <f t="shared" ca="1" si="13"/>
        <v>888</v>
      </c>
      <c r="V20" s="103">
        <f t="shared" ca="1" si="14"/>
        <v>0.2631522536330233</v>
      </c>
      <c r="W20" s="112">
        <f t="shared" si="15"/>
        <v>4.644415877551783E-2</v>
      </c>
      <c r="X20" s="112">
        <f t="shared" si="16"/>
        <v>6.7861250000000014E-3</v>
      </c>
      <c r="Y20" s="112">
        <f ca="1">IF(Reset,1,T20/100*(S20^2+V20^2/12)*AE20/1000)</f>
        <v>0.18854065940321257</v>
      </c>
      <c r="Z20" s="112">
        <f ca="1">IF(Reset,1,(1-T20/100)*(S20^2+V20^2/12)*AE20/1000)</f>
        <v>0.10770383025666828</v>
      </c>
      <c r="AA20" s="112">
        <f t="shared" si="17"/>
        <v>3.1999999999999997E-3</v>
      </c>
      <c r="AB20" s="112">
        <f t="shared" si="18"/>
        <v>2.7566587755178304E-3</v>
      </c>
      <c r="AC20" s="112">
        <f t="shared" ca="1" si="38"/>
        <v>0.3554314322109165</v>
      </c>
      <c r="AD20" s="32">
        <f ca="1">IF(Reset=1,150,AC20*Rth_typ+$A20)</f>
        <v>37.08466869517116</v>
      </c>
      <c r="AE20" s="33">
        <f t="shared" ca="1" si="19"/>
        <v>658.00640973682152</v>
      </c>
      <c r="AF20" s="33">
        <f t="shared" ca="1" si="20"/>
        <v>274.16933739034232</v>
      </c>
      <c r="AG20" s="160">
        <f t="shared" ca="1" si="21"/>
        <v>7.9871210338153054</v>
      </c>
      <c r="AH20" s="105">
        <f t="shared" ca="1" si="22"/>
        <v>5.0744525547445258</v>
      </c>
      <c r="AI20" s="113">
        <f t="shared" si="23"/>
        <v>0.33333333333333331</v>
      </c>
      <c r="AJ20" s="107">
        <f t="shared" ca="1" si="24"/>
        <v>60.634676639211385</v>
      </c>
      <c r="AK20" s="167">
        <f t="shared" ca="1" si="25"/>
        <v>964</v>
      </c>
      <c r="AL20" s="170">
        <f t="shared" ca="1" si="26"/>
        <v>0.25157766197384118</v>
      </c>
      <c r="AM20" s="171">
        <f t="shared" si="27"/>
        <v>4.644415877551783E-2</v>
      </c>
      <c r="AN20" s="171">
        <f t="shared" si="28"/>
        <v>3.3930625000000007E-3</v>
      </c>
      <c r="AO20" s="171">
        <f ca="1">IF(Reset,1,AJ20/100*(AI20^2+AL20^2/12)*AU20/1000)</f>
        <v>4.3797996809462926E-2</v>
      </c>
      <c r="AP20" s="171">
        <f ca="1">IF(Reset,1,(1-AJ20/100)*(AI20^2+AL20^2/12)*AU20/1000)</f>
        <v>2.843459225845589E-2</v>
      </c>
      <c r="AQ20" s="171">
        <f t="shared" si="29"/>
        <v>1.5999999999999999E-3</v>
      </c>
      <c r="AR20" s="171">
        <f t="shared" si="30"/>
        <v>2.7566587755178304E-3</v>
      </c>
      <c r="AS20" s="171">
        <f t="shared" ca="1" si="39"/>
        <v>0.1264264691189545</v>
      </c>
      <c r="AT20" s="34">
        <f ca="1">IF(Reset=1,150,AS20*Rth_typ+$A20)</f>
        <v>29.298499950044452</v>
      </c>
      <c r="AU20" s="172">
        <f t="shared" ca="1" si="31"/>
        <v>620.6327997602134</v>
      </c>
      <c r="AV20" s="172">
        <f t="shared" ca="1" si="32"/>
        <v>258.59699990008892</v>
      </c>
      <c r="AW20" s="173">
        <f t="shared" ca="1" si="33"/>
        <v>8.2259838058116763</v>
      </c>
      <c r="AX20" s="108">
        <f t="shared" ca="1" si="34"/>
        <v>5.0744525547445258</v>
      </c>
    </row>
    <row r="21" spans="1:50" s="58" customFormat="1" ht="12.75" customHeight="1" x14ac:dyDescent="0.2">
      <c r="A21" s="27">
        <v>25</v>
      </c>
      <c r="B21" s="109">
        <f t="shared" si="0"/>
        <v>8.5200000000000014</v>
      </c>
      <c r="C21" s="110">
        <f t="shared" si="1"/>
        <v>1</v>
      </c>
      <c r="D21" s="87">
        <f t="shared" ca="1" si="2"/>
        <v>69.543137075617906</v>
      </c>
      <c r="E21" s="155">
        <f t="shared" ca="1" si="3"/>
        <v>741</v>
      </c>
      <c r="F21" s="100">
        <f t="shared" ca="1" si="4"/>
        <v>0.26922839039036467</v>
      </c>
      <c r="G21" s="31">
        <f t="shared" si="35"/>
        <v>4.5288038084968466E-2</v>
      </c>
      <c r="H21" s="31">
        <f t="shared" si="36"/>
        <v>9.6787200000000035E-3</v>
      </c>
      <c r="I21" s="31">
        <f ca="1">IF(Reset,1,D21/100*(C21^2+F21^2/12)*O21/1000)</f>
        <v>0.51077174547478288</v>
      </c>
      <c r="J21" s="31">
        <f ca="1">IF(Reset,1,(1-D21/100)*(C21^2+F21^2/12)*O21/1000)</f>
        <v>0.22369576196508698</v>
      </c>
      <c r="K21" s="31">
        <f t="shared" si="5"/>
        <v>4.7999999999999996E-3</v>
      </c>
      <c r="L21" s="31">
        <f t="shared" si="6"/>
        <v>2.68803808496846E-3</v>
      </c>
      <c r="M21" s="31">
        <f t="shared" ca="1" si="37"/>
        <v>0.79692230360980676</v>
      </c>
      <c r="N21" s="28">
        <f ca="1">IF(Reset=1,150,M21*Rth_typ+$A21)</f>
        <v>52.095358322733432</v>
      </c>
      <c r="O21" s="30">
        <f t="shared" ca="1" si="7"/>
        <v>730.0577199491205</v>
      </c>
      <c r="P21" s="30">
        <f t="shared" ca="1" si="8"/>
        <v>304.19071664546686</v>
      </c>
      <c r="Q21" s="29">
        <f t="shared" ca="1" si="9"/>
        <v>7.479741758163204</v>
      </c>
      <c r="R21" s="100">
        <f t="shared" ca="1" si="10"/>
        <v>5.0744525547445258</v>
      </c>
      <c r="S21" s="111">
        <f t="shared" si="11"/>
        <v>0.66666666666666663</v>
      </c>
      <c r="T21" s="102">
        <f t="shared" ca="1" si="12"/>
        <v>65.353597925459354</v>
      </c>
      <c r="U21" s="157">
        <f t="shared" ca="1" si="13"/>
        <v>846</v>
      </c>
      <c r="V21" s="103">
        <f t="shared" ca="1" si="14"/>
        <v>0.25407043398578449</v>
      </c>
      <c r="W21" s="112">
        <f t="shared" si="15"/>
        <v>4.5288038084968466E-2</v>
      </c>
      <c r="X21" s="112">
        <f t="shared" si="16"/>
        <v>6.4524800000000026E-3</v>
      </c>
      <c r="Y21" s="112">
        <f ca="1">IF(Reset,1,T21/100*(S21^2+V21^2/12)*AE21/1000)</f>
        <v>0.19334407316166355</v>
      </c>
      <c r="Z21" s="112">
        <f ca="1">IF(Reset,1,(1-T21/100)*(S21^2+V21^2/12)*AE21/1000)</f>
        <v>0.10249897037235409</v>
      </c>
      <c r="AA21" s="112">
        <f t="shared" si="17"/>
        <v>3.1999999999999997E-3</v>
      </c>
      <c r="AB21" s="112">
        <f t="shared" si="18"/>
        <v>2.68803808496846E-3</v>
      </c>
      <c r="AC21" s="112">
        <f t="shared" ca="1" si="38"/>
        <v>0.35347159970395453</v>
      </c>
      <c r="AD21" s="32">
        <f ca="1">IF(Reset=1,150,AC21*Rth_typ+$A21)</f>
        <v>37.018034389934456</v>
      </c>
      <c r="AE21" s="33">
        <f t="shared" ca="1" si="19"/>
        <v>657.68656507168544</v>
      </c>
      <c r="AF21" s="33">
        <f t="shared" ca="1" si="20"/>
        <v>274.03606877986891</v>
      </c>
      <c r="AG21" s="160">
        <f t="shared" ca="1" si="21"/>
        <v>7.7772250345348244</v>
      </c>
      <c r="AH21" s="105">
        <f t="shared" ca="1" si="22"/>
        <v>5.0744525547445258</v>
      </c>
      <c r="AI21" s="113">
        <f t="shared" si="23"/>
        <v>0.33333333333333331</v>
      </c>
      <c r="AJ21" s="107">
        <f t="shared" ca="1" si="24"/>
        <v>62.219938152287618</v>
      </c>
      <c r="AK21" s="167">
        <f t="shared" ca="1" si="25"/>
        <v>924</v>
      </c>
      <c r="AL21" s="170">
        <f t="shared" ca="1" si="26"/>
        <v>0.24277698499906852</v>
      </c>
      <c r="AM21" s="171">
        <f t="shared" si="27"/>
        <v>4.5288038084968466E-2</v>
      </c>
      <c r="AN21" s="171">
        <f t="shared" si="28"/>
        <v>3.2262400000000013E-3</v>
      </c>
      <c r="AO21" s="171">
        <f ca="1">IF(Reset,1,AJ21/100*(AI21^2+AL21^2/12)*AU21/1000)</f>
        <v>4.4783656147991555E-2</v>
      </c>
      <c r="AP21" s="171">
        <f ca="1">IF(Reset,1,(1-AJ21/100)*(AI21^2+AL21^2/12)*AU21/1000)</f>
        <v>2.7192719074980304E-2</v>
      </c>
      <c r="AQ21" s="171">
        <f t="shared" si="29"/>
        <v>1.5999999999999999E-3</v>
      </c>
      <c r="AR21" s="171">
        <f t="shared" si="30"/>
        <v>2.68803808496846E-3</v>
      </c>
      <c r="AS21" s="171">
        <f t="shared" ca="1" si="39"/>
        <v>0.12477869139290879</v>
      </c>
      <c r="AT21" s="34">
        <f ca="1">IF(Reset=1,150,AS21*Rth_typ+$A21)</f>
        <v>29.242475507358897</v>
      </c>
      <c r="AU21" s="172">
        <f t="shared" ca="1" si="31"/>
        <v>620.36388243532269</v>
      </c>
      <c r="AV21" s="172">
        <f t="shared" ca="1" si="32"/>
        <v>258.48495101471781</v>
      </c>
      <c r="AW21" s="173">
        <f t="shared" ca="1" si="33"/>
        <v>8.0159666670776613</v>
      </c>
      <c r="AX21" s="108">
        <f t="shared" ca="1" si="34"/>
        <v>5.0744525547445258</v>
      </c>
    </row>
    <row r="22" spans="1:50" s="58" customFormat="1" ht="12.75" customHeight="1" x14ac:dyDescent="0.2">
      <c r="A22" s="27">
        <v>25</v>
      </c>
      <c r="B22" s="109">
        <f t="shared" si="0"/>
        <v>8.302500000000002</v>
      </c>
      <c r="C22" s="110">
        <f t="shared" si="1"/>
        <v>1</v>
      </c>
      <c r="D22" s="87">
        <f t="shared" ca="1" si="2"/>
        <v>71.534510297921344</v>
      </c>
      <c r="E22" s="155">
        <f t="shared" ca="1" si="3"/>
        <v>691</v>
      </c>
      <c r="F22" s="100">
        <f t="shared" ca="1" si="4"/>
        <v>0.25925828676669554</v>
      </c>
      <c r="G22" s="31">
        <f t="shared" si="35"/>
        <v>4.4131917394419094E-2</v>
      </c>
      <c r="H22" s="31">
        <f t="shared" si="36"/>
        <v>9.1908675000000033E-3</v>
      </c>
      <c r="I22" s="31">
        <f ca="1">IF(Reset,1,D22/100*(C22^2+F22^2/12)*O22/1000)</f>
        <v>0.52488287175605131</v>
      </c>
      <c r="J22" s="31">
        <f ca="1">IF(Reset,1,(1-D22/100)*(C22^2+F22^2/12)*O22/1000)</f>
        <v>0.20886489497927704</v>
      </c>
      <c r="K22" s="31">
        <f t="shared" si="5"/>
        <v>4.7999999999999996E-3</v>
      </c>
      <c r="L22" s="31">
        <f t="shared" si="6"/>
        <v>2.6194173944190892E-3</v>
      </c>
      <c r="M22" s="31">
        <f t="shared" ca="1" si="37"/>
        <v>0.79448996902416658</v>
      </c>
      <c r="N22" s="28">
        <f ca="1">IF(Reset=1,150,M22*Rth_typ+$A22)</f>
        <v>52.012658946821659</v>
      </c>
      <c r="O22" s="30">
        <f t="shared" ca="1" si="7"/>
        <v>729.66076294474396</v>
      </c>
      <c r="P22" s="30">
        <f t="shared" ca="1" si="8"/>
        <v>304.02531789364332</v>
      </c>
      <c r="Q22" s="29">
        <f t="shared" ca="1" si="9"/>
        <v>7.2700258421869952</v>
      </c>
      <c r="R22" s="100">
        <f t="shared" ca="1" si="10"/>
        <v>5.0744525547445258</v>
      </c>
      <c r="S22" s="111">
        <f t="shared" si="11"/>
        <v>0.66666666666666663</v>
      </c>
      <c r="T22" s="102">
        <f t="shared" ca="1" si="12"/>
        <v>67.158095807611943</v>
      </c>
      <c r="U22" s="157">
        <f t="shared" ca="1" si="13"/>
        <v>801</v>
      </c>
      <c r="V22" s="103">
        <f t="shared" ca="1" si="14"/>
        <v>0.24448738060401898</v>
      </c>
      <c r="W22" s="112">
        <f t="shared" si="15"/>
        <v>4.4131917394419094E-2</v>
      </c>
      <c r="X22" s="112">
        <f t="shared" si="16"/>
        <v>6.1272450000000016E-3</v>
      </c>
      <c r="Y22" s="112">
        <f ca="1">IF(Reset,1,T22/100*(S22^2+V22^2/12)*AE22/1000)</f>
        <v>0.19841038823930926</v>
      </c>
      <c r="Z22" s="112">
        <f ca="1">IF(Reset,1,(1-T22/100)*(S22^2+V22^2/12)*AE22/1000)</f>
        <v>9.7027393093407924E-2</v>
      </c>
      <c r="AA22" s="112">
        <f t="shared" si="17"/>
        <v>3.1999999999999997E-3</v>
      </c>
      <c r="AB22" s="112">
        <f t="shared" si="18"/>
        <v>2.6194173944190892E-3</v>
      </c>
      <c r="AC22" s="112">
        <f t="shared" ca="1" si="38"/>
        <v>0.35151636112155532</v>
      </c>
      <c r="AD22" s="32">
        <f ca="1">IF(Reset=1,150,AC22*Rth_typ+$A22)</f>
        <v>36.951556278132884</v>
      </c>
      <c r="AE22" s="33">
        <f t="shared" ca="1" si="19"/>
        <v>657.36747013503782</v>
      </c>
      <c r="AF22" s="33">
        <f t="shared" ca="1" si="20"/>
        <v>273.9031125562658</v>
      </c>
      <c r="AG22" s="160">
        <f t="shared" ca="1" si="21"/>
        <v>7.5673285453484285</v>
      </c>
      <c r="AH22" s="105">
        <f t="shared" ca="1" si="22"/>
        <v>5.0744525547445258</v>
      </c>
      <c r="AI22" s="113">
        <f t="shared" si="23"/>
        <v>0.33333333333333331</v>
      </c>
      <c r="AJ22" s="107">
        <f t="shared" ca="1" si="24"/>
        <v>63.890343860699382</v>
      </c>
      <c r="AK22" s="167">
        <f t="shared" ca="1" si="25"/>
        <v>882</v>
      </c>
      <c r="AL22" s="170">
        <f t="shared" ca="1" si="26"/>
        <v>0.23350387517798696</v>
      </c>
      <c r="AM22" s="171">
        <f t="shared" si="27"/>
        <v>4.4131917394419094E-2</v>
      </c>
      <c r="AN22" s="171">
        <f t="shared" si="28"/>
        <v>3.0636225000000008E-3</v>
      </c>
      <c r="AO22" s="171">
        <f ca="1">IF(Reset,1,AJ22/100*(AI22^2+AL22^2/12)*AU22/1000)</f>
        <v>4.582021718253812E-2</v>
      </c>
      <c r="AP22" s="171">
        <f ca="1">IF(Reset,1,(1-AJ22/100)*(AI22^2+AL22^2/12)*AU22/1000)</f>
        <v>2.5896750380573295E-2</v>
      </c>
      <c r="AQ22" s="171">
        <f t="shared" si="29"/>
        <v>1.5999999999999999E-3</v>
      </c>
      <c r="AR22" s="171">
        <f t="shared" si="30"/>
        <v>2.6194173944190892E-3</v>
      </c>
      <c r="AS22" s="171">
        <f t="shared" ca="1" si="39"/>
        <v>0.12313192485194961</v>
      </c>
      <c r="AT22" s="34">
        <f ca="1">IF(Reset=1,150,AS22*Rth_typ+$A22)</f>
        <v>29.186485444966287</v>
      </c>
      <c r="AU22" s="172">
        <f t="shared" ca="1" si="31"/>
        <v>620.09513013583819</v>
      </c>
      <c r="AV22" s="172">
        <f t="shared" ca="1" si="32"/>
        <v>258.37297088993256</v>
      </c>
      <c r="AW22" s="173">
        <f t="shared" ca="1" si="33"/>
        <v>7.8059494744261757</v>
      </c>
      <c r="AX22" s="108">
        <f t="shared" ca="1" si="34"/>
        <v>5.0744525547445258</v>
      </c>
    </row>
    <row r="23" spans="1:50" s="58" customFormat="1" ht="12.75" customHeight="1" x14ac:dyDescent="0.2">
      <c r="A23" s="27">
        <v>25</v>
      </c>
      <c r="B23" s="109">
        <f t="shared" si="0"/>
        <v>8.0850000000000026</v>
      </c>
      <c r="C23" s="110">
        <f t="shared" si="1"/>
        <v>1</v>
      </c>
      <c r="D23" s="87">
        <f t="shared" ca="1" si="2"/>
        <v>73.643456273095353</v>
      </c>
      <c r="E23" s="155">
        <f t="shared" ca="1" si="3"/>
        <v>638</v>
      </c>
      <c r="F23" s="100">
        <f t="shared" ca="1" si="4"/>
        <v>0.24870091353691087</v>
      </c>
      <c r="G23" s="31">
        <f t="shared" si="35"/>
        <v>4.297579670386973E-2</v>
      </c>
      <c r="H23" s="31">
        <f t="shared" si="36"/>
        <v>8.7156300000000055E-3</v>
      </c>
      <c r="I23" s="31">
        <f ca="1">IF(Reset,1,D23/100*(C23^2+F23^2/12)*O23/1000)</f>
        <v>0.5398242903142052</v>
      </c>
      <c r="J23" s="31">
        <f ca="1">IF(Reset,1,(1-D23/100)*(C23^2+F23^2/12)*O23/1000)</f>
        <v>0.19319982022231064</v>
      </c>
      <c r="K23" s="31">
        <f t="shared" si="5"/>
        <v>4.7999999999999996E-3</v>
      </c>
      <c r="L23" s="31">
        <f t="shared" si="6"/>
        <v>2.5507967038697187E-3</v>
      </c>
      <c r="M23" s="31">
        <f t="shared" ca="1" si="37"/>
        <v>0.7920663339442553</v>
      </c>
      <c r="N23" s="28">
        <f ca="1">IF(Reset=1,150,M23*Rth_typ+$A23)</f>
        <v>51.930255354104681</v>
      </c>
      <c r="O23" s="30">
        <f t="shared" ca="1" si="7"/>
        <v>729.26522569970246</v>
      </c>
      <c r="P23" s="30">
        <f t="shared" ca="1" si="8"/>
        <v>303.86051070820935</v>
      </c>
      <c r="Q23" s="29">
        <f t="shared" ca="1" si="9"/>
        <v>7.0603085346100114</v>
      </c>
      <c r="R23" s="100">
        <f t="shared" ca="1" si="10"/>
        <v>5.0744525547445258</v>
      </c>
      <c r="S23" s="111">
        <f t="shared" si="11"/>
        <v>0.66666666666666663</v>
      </c>
      <c r="T23" s="102">
        <f t="shared" ca="1" si="12"/>
        <v>69.065150956088374</v>
      </c>
      <c r="U23" s="157">
        <f t="shared" ca="1" si="13"/>
        <v>753</v>
      </c>
      <c r="V23" s="103">
        <f t="shared" ca="1" si="14"/>
        <v>0.23436036478990208</v>
      </c>
      <c r="W23" s="112">
        <f t="shared" si="15"/>
        <v>4.297579670386973E-2</v>
      </c>
      <c r="X23" s="112">
        <f t="shared" si="16"/>
        <v>5.8104200000000036E-3</v>
      </c>
      <c r="Y23" s="112">
        <f ca="1">IF(Reset,1,T23/100*(S23^2+V23^2/12)*AE23/1000)</f>
        <v>0.20376238194651691</v>
      </c>
      <c r="Z23" s="112">
        <f ca="1">IF(Reset,1,(1-T23/100)*(S23^2+V23^2/12)*AE23/1000)</f>
        <v>9.1266846435346827E-2</v>
      </c>
      <c r="AA23" s="112">
        <f t="shared" si="17"/>
        <v>3.1999999999999997E-3</v>
      </c>
      <c r="AB23" s="112">
        <f t="shared" si="18"/>
        <v>2.5507967038697187E-3</v>
      </c>
      <c r="AC23" s="112">
        <f t="shared" ca="1" si="38"/>
        <v>0.34956624178960316</v>
      </c>
      <c r="AD23" s="32">
        <f ca="1">IF(Reset=1,150,AC23*Rth_typ+$A23)</f>
        <v>36.88525222084651</v>
      </c>
      <c r="AE23" s="33">
        <f t="shared" ca="1" si="19"/>
        <v>657.0492106600633</v>
      </c>
      <c r="AF23" s="33">
        <f t="shared" ca="1" si="20"/>
        <v>273.77050444169299</v>
      </c>
      <c r="AG23" s="160">
        <f t="shared" ca="1" si="21"/>
        <v>7.3574315102342425</v>
      </c>
      <c r="AH23" s="105">
        <f t="shared" ca="1" si="22"/>
        <v>5.0744525547445258</v>
      </c>
      <c r="AI23" s="113">
        <f t="shared" si="23"/>
        <v>0.33333333333333331</v>
      </c>
      <c r="AJ23" s="107">
        <f t="shared" ca="1" si="24"/>
        <v>65.652943018177339</v>
      </c>
      <c r="AK23" s="167">
        <f t="shared" ca="1" si="25"/>
        <v>838</v>
      </c>
      <c r="AL23" s="170">
        <f t="shared" ca="1" si="26"/>
        <v>0.22371922177093773</v>
      </c>
      <c r="AM23" s="171">
        <f t="shared" si="27"/>
        <v>4.297579670386973E-2</v>
      </c>
      <c r="AN23" s="171">
        <f t="shared" si="28"/>
        <v>2.9052100000000018E-3</v>
      </c>
      <c r="AO23" s="171">
        <f ca="1">IF(Reset,1,AJ23/100*(AI23^2+AL23^2/12)*AU23/1000)</f>
        <v>4.6912200694736443E-2</v>
      </c>
      <c r="AP23" s="171">
        <f ca="1">IF(Reset,1,(1-AJ23/100)*(AI23^2+AL23^2/12)*AU23/1000)</f>
        <v>2.4542632155251497E-2</v>
      </c>
      <c r="AQ23" s="171">
        <f t="shared" si="29"/>
        <v>1.5999999999999999E-3</v>
      </c>
      <c r="AR23" s="171">
        <f t="shared" si="30"/>
        <v>2.5507967038697187E-3</v>
      </c>
      <c r="AS23" s="171">
        <f t="shared" ca="1" si="39"/>
        <v>0.12148663625772739</v>
      </c>
      <c r="AT23" s="34">
        <f ca="1">IF(Reset=1,150,AS23*Rth_typ+$A23)</f>
        <v>29.130545632762733</v>
      </c>
      <c r="AU23" s="172">
        <f t="shared" ca="1" si="31"/>
        <v>619.82661903726114</v>
      </c>
      <c r="AV23" s="172">
        <f t="shared" ca="1" si="32"/>
        <v>258.26109126552547</v>
      </c>
      <c r="AW23" s="173">
        <f t="shared" ca="1" si="33"/>
        <v>7.5959322029689949</v>
      </c>
      <c r="AX23" s="108">
        <f t="shared" ca="1" si="34"/>
        <v>5.0744525547445258</v>
      </c>
    </row>
    <row r="24" spans="1:50" s="58" customFormat="1" ht="12.75" customHeight="1" x14ac:dyDescent="0.2">
      <c r="A24" s="27">
        <v>25</v>
      </c>
      <c r="B24" s="109">
        <f t="shared" si="0"/>
        <v>7.8675000000000033</v>
      </c>
      <c r="C24" s="110">
        <f t="shared" si="1"/>
        <v>1</v>
      </c>
      <c r="D24" s="87">
        <f t="shared" ca="1" si="2"/>
        <v>75.880705721354971</v>
      </c>
      <c r="E24" s="155">
        <f t="shared" ca="1" si="3"/>
        <v>582</v>
      </c>
      <c r="F24" s="100">
        <f t="shared" ca="1" si="4"/>
        <v>0.2375026836790908</v>
      </c>
      <c r="G24" s="31">
        <f t="shared" si="35"/>
        <v>4.1819676013320366E-2</v>
      </c>
      <c r="H24" s="31">
        <f t="shared" si="36"/>
        <v>8.2530075000000081E-3</v>
      </c>
      <c r="I24" s="31">
        <f ca="1">IF(Reset,1,D24/100*(C24^2+F24^2/12)*O24/1000)</f>
        <v>0.55567243570908642</v>
      </c>
      <c r="J24" s="31">
        <f ca="1">IF(Reset,1,(1-D24/100)*(C24^2+F24^2/12)*O24/1000)</f>
        <v>0.17662496509474471</v>
      </c>
      <c r="K24" s="31">
        <f t="shared" si="5"/>
        <v>4.7999999999999996E-3</v>
      </c>
      <c r="L24" s="31">
        <f t="shared" si="6"/>
        <v>2.4821760133203479E-3</v>
      </c>
      <c r="M24" s="31">
        <f t="shared" ca="1" si="37"/>
        <v>0.78965226033047187</v>
      </c>
      <c r="N24" s="28">
        <f ca="1">IF(Reset=1,150,M24*Rth_typ+$A24)</f>
        <v>51.848176851236047</v>
      </c>
      <c r="O24" s="30">
        <f t="shared" ca="1" si="7"/>
        <v>728.87124888593303</v>
      </c>
      <c r="P24" s="30">
        <f t="shared" ca="1" si="8"/>
        <v>303.69635370247209</v>
      </c>
      <c r="Q24" s="29">
        <f t="shared" ca="1" si="9"/>
        <v>6.8505896975503076</v>
      </c>
      <c r="R24" s="100">
        <f t="shared" ca="1" si="10"/>
        <v>5.0744525547445258</v>
      </c>
      <c r="S24" s="111">
        <f t="shared" si="11"/>
        <v>0.66666666666666663</v>
      </c>
      <c r="T24" s="102">
        <f t="shared" ca="1" si="12"/>
        <v>71.083763124586497</v>
      </c>
      <c r="U24" s="157">
        <f t="shared" ca="1" si="13"/>
        <v>702</v>
      </c>
      <c r="V24" s="103">
        <f t="shared" ca="1" si="14"/>
        <v>0.22364165927022245</v>
      </c>
      <c r="W24" s="112">
        <f t="shared" si="15"/>
        <v>4.1819676013320366E-2</v>
      </c>
      <c r="X24" s="112">
        <f t="shared" si="16"/>
        <v>5.5020050000000051E-3</v>
      </c>
      <c r="Y24" s="112">
        <f ca="1">IF(Reset,1,T24/100*(S24^2+V24^2/12)*AE24/1000)</f>
        <v>0.20942561865914891</v>
      </c>
      <c r="Z24" s="112">
        <f ca="1">IF(Reset,1,(1-T24/100)*(S24^2+V24^2/12)*AE24/1000)</f>
        <v>8.519246211422625E-2</v>
      </c>
      <c r="AA24" s="112">
        <f t="shared" si="17"/>
        <v>3.1999999999999997E-3</v>
      </c>
      <c r="AB24" s="112">
        <f t="shared" si="18"/>
        <v>2.4821760133203479E-3</v>
      </c>
      <c r="AC24" s="112">
        <f t="shared" ca="1" si="38"/>
        <v>0.34762193780001588</v>
      </c>
      <c r="AD24" s="32">
        <f ca="1">IF(Reset=1,150,AC24*Rth_typ+$A24)</f>
        <v>36.819145885200541</v>
      </c>
      <c r="AE24" s="33">
        <f t="shared" ca="1" si="19"/>
        <v>656.73190024896257</v>
      </c>
      <c r="AF24" s="33">
        <f t="shared" ca="1" si="20"/>
        <v>273.63829177040111</v>
      </c>
      <c r="AG24" s="160">
        <f t="shared" ca="1" si="21"/>
        <v>7.1475338549595424</v>
      </c>
      <c r="AH24" s="105">
        <f t="shared" ca="1" si="22"/>
        <v>5.0744525547445258</v>
      </c>
      <c r="AI24" s="113">
        <f t="shared" si="23"/>
        <v>0.33333333333333331</v>
      </c>
      <c r="AJ24" s="107">
        <f t="shared" ca="1" si="24"/>
        <v>67.515585218888546</v>
      </c>
      <c r="AK24" s="167">
        <f t="shared" ca="1" si="25"/>
        <v>792</v>
      </c>
      <c r="AL24" s="170">
        <f t="shared" ca="1" si="26"/>
        <v>0.21337947438221339</v>
      </c>
      <c r="AM24" s="171">
        <f t="shared" si="27"/>
        <v>4.1819676013320366E-2</v>
      </c>
      <c r="AN24" s="171">
        <f t="shared" si="28"/>
        <v>2.7510025000000026E-3</v>
      </c>
      <c r="AO24" s="171">
        <f ca="1">IF(Reset,1,AJ24/100*(AI24^2+AL24^2/12)*AU24/1000)</f>
        <v>4.8064734598530029E-2</v>
      </c>
      <c r="AP24" s="171">
        <f ca="1">IF(Reset,1,(1-AJ24/100)*(AI24^2+AL24^2/12)*AU24/1000)</f>
        <v>2.3125842277463882E-2</v>
      </c>
      <c r="AQ24" s="171">
        <f t="shared" si="29"/>
        <v>1.5999999999999999E-3</v>
      </c>
      <c r="AR24" s="171">
        <f t="shared" si="30"/>
        <v>2.4821760133203479E-3</v>
      </c>
      <c r="AS24" s="171">
        <f t="shared" ca="1" si="39"/>
        <v>0.11984343140263462</v>
      </c>
      <c r="AT24" s="34">
        <f ca="1">IF(Reset=1,150,AS24*Rth_typ+$A24)</f>
        <v>29.074676667689577</v>
      </c>
      <c r="AU24" s="172">
        <f t="shared" ca="1" si="31"/>
        <v>619.55844800491002</v>
      </c>
      <c r="AV24" s="172">
        <f t="shared" ca="1" si="32"/>
        <v>258.14935333537915</v>
      </c>
      <c r="AW24" s="173">
        <f t="shared" ca="1" si="33"/>
        <v>7.3859148204046203</v>
      </c>
      <c r="AX24" s="108">
        <f t="shared" ca="1" si="34"/>
        <v>5.0744525547445258</v>
      </c>
    </row>
    <row r="25" spans="1:50" s="58" customFormat="1" ht="12.75" customHeight="1" x14ac:dyDescent="0.2">
      <c r="A25" s="27">
        <v>25</v>
      </c>
      <c r="B25" s="109">
        <f t="shared" si="0"/>
        <v>7.650000000000003</v>
      </c>
      <c r="C25" s="110">
        <f t="shared" si="1"/>
        <v>1</v>
      </c>
      <c r="D25" s="87">
        <f t="shared" ca="1" si="2"/>
        <v>78.258336917794111</v>
      </c>
      <c r="E25" s="155">
        <f t="shared" ca="1" si="3"/>
        <v>523</v>
      </c>
      <c r="F25" s="100">
        <f t="shared" ca="1" si="4"/>
        <v>0.22560328647481157</v>
      </c>
      <c r="G25" s="31">
        <f t="shared" si="35"/>
        <v>4.0663555322770988E-2</v>
      </c>
      <c r="H25" s="31">
        <f t="shared" si="36"/>
        <v>7.803000000000007E-3</v>
      </c>
      <c r="I25" s="31">
        <f ca="1">IF(Reset,1,D25/100*(C25^2+F25^2/12)*O25/1000)</f>
        <v>0.57251357230646605</v>
      </c>
      <c r="J25" s="31">
        <f ca="1">IF(Reset,1,(1-D25/100)*(C25^2+F25^2/12)*O25/1000)</f>
        <v>0.15905522260398375</v>
      </c>
      <c r="K25" s="31">
        <f t="shared" si="5"/>
        <v>4.7999999999999996E-3</v>
      </c>
      <c r="L25" s="31">
        <f t="shared" si="6"/>
        <v>2.413555322770977E-3</v>
      </c>
      <c r="M25" s="31">
        <f t="shared" ca="1" si="37"/>
        <v>0.78724890555599181</v>
      </c>
      <c r="N25" s="28">
        <f ca="1">IF(Reset=1,150,M25*Rth_typ+$A25)</f>
        <v>51.766462788903723</v>
      </c>
      <c r="O25" s="30">
        <f t="shared" ca="1" si="7"/>
        <v>728.47902138673783</v>
      </c>
      <c r="P25" s="30">
        <f t="shared" ca="1" si="8"/>
        <v>303.53292557780742</v>
      </c>
      <c r="Q25" s="29">
        <f t="shared" ca="1" si="9"/>
        <v>6.6408691458707692</v>
      </c>
      <c r="R25" s="100">
        <f t="shared" ca="1" si="10"/>
        <v>5.0744525547445258</v>
      </c>
      <c r="S25" s="111">
        <f t="shared" si="11"/>
        <v>0.66666666666666663</v>
      </c>
      <c r="T25" s="102">
        <f t="shared" ca="1" si="12"/>
        <v>73.224017132008711</v>
      </c>
      <c r="U25" s="157">
        <f t="shared" ca="1" si="13"/>
        <v>649</v>
      </c>
      <c r="V25" s="103">
        <f t="shared" ca="1" si="14"/>
        <v>0.21227778507195777</v>
      </c>
      <c r="W25" s="112">
        <f t="shared" si="15"/>
        <v>4.0663555322770988E-2</v>
      </c>
      <c r="X25" s="112">
        <f t="shared" si="16"/>
        <v>5.2020000000000044E-3</v>
      </c>
      <c r="Y25" s="112">
        <f ca="1">IF(Reset,1,T25/100*(S25^2+V25^2/12)*AE25/1000)</f>
        <v>0.21542890121719446</v>
      </c>
      <c r="Z25" s="112">
        <f ca="1">IF(Reset,1,(1-T25/100)*(S25^2+V25^2/12)*AE25/1000)</f>
        <v>7.8776346807941752E-2</v>
      </c>
      <c r="AA25" s="112">
        <f t="shared" si="17"/>
        <v>3.1999999999999997E-3</v>
      </c>
      <c r="AB25" s="112">
        <f t="shared" si="18"/>
        <v>2.413555322770977E-3</v>
      </c>
      <c r="AC25" s="112">
        <f t="shared" ca="1" si="38"/>
        <v>0.3456843586706782</v>
      </c>
      <c r="AD25" s="32">
        <f ca="1">IF(Reset=1,150,AC25*Rth_typ+$A25)</f>
        <v>36.753268194803056</v>
      </c>
      <c r="AE25" s="33">
        <f t="shared" ca="1" si="19"/>
        <v>656.41568733505471</v>
      </c>
      <c r="AF25" s="33">
        <f t="shared" ca="1" si="20"/>
        <v>273.50653638960614</v>
      </c>
      <c r="AG25" s="160">
        <f t="shared" ca="1" si="21"/>
        <v>6.9376354825313973</v>
      </c>
      <c r="AH25" s="105">
        <f t="shared" ca="1" si="22"/>
        <v>5.0744525547445258</v>
      </c>
      <c r="AI25" s="113">
        <f t="shared" si="23"/>
        <v>0.33333333333333331</v>
      </c>
      <c r="AJ25" s="107">
        <f t="shared" ca="1" si="24"/>
        <v>69.487037320434382</v>
      </c>
      <c r="AK25" s="167">
        <f t="shared" ca="1" si="25"/>
        <v>742</v>
      </c>
      <c r="AL25" s="170">
        <f t="shared" ca="1" si="26"/>
        <v>0.20243599453786992</v>
      </c>
      <c r="AM25" s="171">
        <f t="shared" si="27"/>
        <v>4.0663555322770988E-2</v>
      </c>
      <c r="AN25" s="171">
        <f t="shared" si="28"/>
        <v>2.6010000000000022E-3</v>
      </c>
      <c r="AO25" s="171">
        <f ca="1">IF(Reset,1,AJ25/100*(AI25^2+AL25^2/12)*AU25/1000)</f>
        <v>4.9283665714872686E-2</v>
      </c>
      <c r="AP25" s="171">
        <f ca="1">IF(Reset,1,(1-AJ25/100)*(AI25^2+AL25^2/12)*AU25/1000)</f>
        <v>2.1641311972123337E-2</v>
      </c>
      <c r="AQ25" s="171">
        <f t="shared" si="29"/>
        <v>1.5999999999999999E-3</v>
      </c>
      <c r="AR25" s="171">
        <f t="shared" si="30"/>
        <v>2.413555322770977E-3</v>
      </c>
      <c r="AS25" s="171">
        <f t="shared" ca="1" si="39"/>
        <v>0.11820308833253799</v>
      </c>
      <c r="AT25" s="34">
        <f ca="1">IF(Reset=1,150,AS25*Rth_typ+$A25)</f>
        <v>29.018905003306291</v>
      </c>
      <c r="AU25" s="172">
        <f t="shared" ca="1" si="31"/>
        <v>619.29074401587025</v>
      </c>
      <c r="AV25" s="172">
        <f t="shared" ca="1" si="32"/>
        <v>258.03781000661257</v>
      </c>
      <c r="AW25" s="173">
        <f t="shared" ca="1" si="33"/>
        <v>7.1758972852468172</v>
      </c>
      <c r="AX25" s="108">
        <f t="shared" ca="1" si="34"/>
        <v>5.0744525547445258</v>
      </c>
    </row>
    <row r="26" spans="1:50" s="58" customFormat="1" ht="12.75" customHeight="1" x14ac:dyDescent="0.2">
      <c r="A26" s="27">
        <v>25</v>
      </c>
      <c r="B26" s="109">
        <f t="shared" si="0"/>
        <v>7.4325000000000028</v>
      </c>
      <c r="C26" s="110">
        <f t="shared" si="1"/>
        <v>1</v>
      </c>
      <c r="D26" s="87">
        <f t="shared" ca="1" si="2"/>
        <v>80.789994268753631</v>
      </c>
      <c r="E26" s="155">
        <f t="shared" ca="1" si="3"/>
        <v>460</v>
      </c>
      <c r="F26" s="100">
        <f t="shared" ca="1" si="4"/>
        <v>0.21293459831899336</v>
      </c>
      <c r="G26" s="31">
        <f t="shared" si="35"/>
        <v>3.9507434632221623E-2</v>
      </c>
      <c r="H26" s="31">
        <f t="shared" si="36"/>
        <v>7.3656075000000055E-3</v>
      </c>
      <c r="I26" s="31">
        <f ca="1">IF(Reset,1,D26/100*(C26^2+F26^2/12)*O26/1000)</f>
        <v>0.59044545250457858</v>
      </c>
      <c r="J26" s="31">
        <f ca="1">IF(Reset,1,(1-D26/100)*(C26^2+F26^2/12)*O26/1000)</f>
        <v>0.14039437221482917</v>
      </c>
      <c r="K26" s="31">
        <f t="shared" si="5"/>
        <v>4.7999999999999996E-3</v>
      </c>
      <c r="L26" s="31">
        <f t="shared" si="6"/>
        <v>2.3449346322216061E-3</v>
      </c>
      <c r="M26" s="31">
        <f t="shared" ca="1" si="37"/>
        <v>0.78485780148385109</v>
      </c>
      <c r="N26" s="28">
        <f ca="1">IF(Reset=1,150,M26*Rth_typ+$A26)</f>
        <v>51.685165250450936</v>
      </c>
      <c r="O26" s="30">
        <f t="shared" ca="1" si="7"/>
        <v>728.08879320216442</v>
      </c>
      <c r="P26" s="30">
        <f t="shared" ca="1" si="8"/>
        <v>303.3703305009019</v>
      </c>
      <c r="Q26" s="29">
        <f t="shared" ca="1" si="9"/>
        <v>6.4311466345296813</v>
      </c>
      <c r="R26" s="100">
        <f t="shared" ca="1" si="10"/>
        <v>5.0744525547445258</v>
      </c>
      <c r="S26" s="111">
        <f t="shared" si="11"/>
        <v>0.66666666666666663</v>
      </c>
      <c r="T26" s="102">
        <f t="shared" ca="1" si="12"/>
        <v>75.497251549766148</v>
      </c>
      <c r="U26" s="157">
        <f t="shared" ca="1" si="13"/>
        <v>592</v>
      </c>
      <c r="V26" s="103">
        <f t="shared" ca="1" si="14"/>
        <v>0.20020861794908534</v>
      </c>
      <c r="W26" s="112">
        <f t="shared" si="15"/>
        <v>3.9507434632221623E-2</v>
      </c>
      <c r="X26" s="112">
        <f t="shared" si="16"/>
        <v>4.910405000000004E-3</v>
      </c>
      <c r="Y26" s="112">
        <f ca="1">IF(Reset,1,T26/100*(S26^2+V26^2/12)*AE26/1000)</f>
        <v>0.22180481502294963</v>
      </c>
      <c r="Z26" s="112">
        <f ca="1">IF(Reset,1,(1-T26/100)*(S26^2+V26^2/12)*AE26/1000)</f>
        <v>7.1987091927120911E-2</v>
      </c>
      <c r="AA26" s="112">
        <f t="shared" si="17"/>
        <v>3.1999999999999997E-3</v>
      </c>
      <c r="AB26" s="112">
        <f t="shared" si="18"/>
        <v>2.3449346322216061E-3</v>
      </c>
      <c r="AC26" s="112">
        <f t="shared" ca="1" si="38"/>
        <v>0.3437546812145138</v>
      </c>
      <c r="AD26" s="32">
        <f ca="1">IF(Reset=1,150,AC26*Rth_typ+$A26)</f>
        <v>36.687659161293467</v>
      </c>
      <c r="AE26" s="33">
        <f t="shared" ca="1" si="19"/>
        <v>656.10076397420869</v>
      </c>
      <c r="AF26" s="33">
        <f t="shared" ca="1" si="20"/>
        <v>273.37531832258696</v>
      </c>
      <c r="AG26" s="160">
        <f t="shared" ca="1" si="21"/>
        <v>6.7277362674519674</v>
      </c>
      <c r="AH26" s="105">
        <f t="shared" ca="1" si="22"/>
        <v>5.0744525547445258</v>
      </c>
      <c r="AI26" s="113">
        <f t="shared" si="23"/>
        <v>0.33333333333333331</v>
      </c>
      <c r="AJ26" s="107">
        <f t="shared" ca="1" si="24"/>
        <v>71.577121486873054</v>
      </c>
      <c r="AK26" s="167">
        <f t="shared" ca="1" si="25"/>
        <v>690</v>
      </c>
      <c r="AL26" s="170">
        <f t="shared" ca="1" si="26"/>
        <v>0.19083429018050682</v>
      </c>
      <c r="AM26" s="171">
        <f t="shared" si="27"/>
        <v>3.9507434632221623E-2</v>
      </c>
      <c r="AN26" s="171">
        <f t="shared" si="28"/>
        <v>2.455202500000002E-3</v>
      </c>
      <c r="AO26" s="171">
        <f ca="1">IF(Reset,1,AJ26/100*(AI26^2+AL26^2/12)*AU26/1000)</f>
        <v>5.0575697745803748E-2</v>
      </c>
      <c r="AP26" s="171">
        <f ca="1">IF(Reset,1,(1-AJ26/100)*(AI26^2+AL26^2/12)*AU26/1000)</f>
        <v>2.0083329461764419E-2</v>
      </c>
      <c r="AQ26" s="171">
        <f t="shared" si="29"/>
        <v>1.5999999999999999E-3</v>
      </c>
      <c r="AR26" s="171">
        <f t="shared" si="30"/>
        <v>2.3449346322216061E-3</v>
      </c>
      <c r="AS26" s="171">
        <f t="shared" ca="1" si="39"/>
        <v>0.1165665989720114</v>
      </c>
      <c r="AT26" s="34">
        <f ca="1">IF(Reset=1,150,AS26*Rth_typ+$A26)</f>
        <v>28.963264365048389</v>
      </c>
      <c r="AU26" s="172">
        <f t="shared" ca="1" si="31"/>
        <v>619.02366895223224</v>
      </c>
      <c r="AV26" s="172">
        <f t="shared" ca="1" si="32"/>
        <v>257.92652873009678</v>
      </c>
      <c r="AW26" s="173">
        <f t="shared" ca="1" si="33"/>
        <v>6.9658795446051087</v>
      </c>
      <c r="AX26" s="108">
        <f t="shared" ca="1" si="34"/>
        <v>5.0744525547445258</v>
      </c>
    </row>
    <row r="27" spans="1:50" s="58" customFormat="1" ht="12.75" customHeight="1" x14ac:dyDescent="0.2">
      <c r="A27" s="27">
        <v>25</v>
      </c>
      <c r="B27" s="109">
        <f t="shared" si="0"/>
        <v>7.2150000000000025</v>
      </c>
      <c r="C27" s="110">
        <f t="shared" si="1"/>
        <v>1</v>
      </c>
      <c r="D27" s="87">
        <f t="shared" ca="1" si="2"/>
        <v>83.491150913004262</v>
      </c>
      <c r="E27" s="155">
        <f t="shared" ca="1" si="3"/>
        <v>392</v>
      </c>
      <c r="F27" s="100">
        <f t="shared" ca="1" si="4"/>
        <v>0.1994193745381731</v>
      </c>
      <c r="G27" s="31">
        <f t="shared" si="35"/>
        <v>3.8351313941672245E-2</v>
      </c>
      <c r="H27" s="31">
        <f t="shared" si="36"/>
        <v>6.9408300000000055E-3</v>
      </c>
      <c r="I27" s="31">
        <f ca="1">IF(Reset,1,D27/100*(C27^2+F27^2/12)*O27/1000)</f>
        <v>0.60957932756837419</v>
      </c>
      <c r="J27" s="31">
        <f ca="1">IF(Reset,1,(1-D27/100)*(C27^2+F27^2/12)*O27/1000)</f>
        <v>0.12053317046574794</v>
      </c>
      <c r="K27" s="31">
        <f t="shared" si="5"/>
        <v>4.7999999999999996E-3</v>
      </c>
      <c r="L27" s="31">
        <f t="shared" si="6"/>
        <v>2.2763139416722348E-3</v>
      </c>
      <c r="M27" s="31">
        <f t="shared" ca="1" si="37"/>
        <v>0.78248095591746669</v>
      </c>
      <c r="N27" s="28">
        <f ca="1">IF(Reset=1,150,M27*Rth_typ+$A27)</f>
        <v>51.604352501193873</v>
      </c>
      <c r="O27" s="30">
        <f t="shared" ca="1" si="7"/>
        <v>727.70089200573057</v>
      </c>
      <c r="P27" s="30">
        <f t="shared" ca="1" si="8"/>
        <v>303.20870500238777</v>
      </c>
      <c r="Q27" s="29">
        <f t="shared" ca="1" si="9"/>
        <v>6.2214218423523855</v>
      </c>
      <c r="R27" s="100">
        <f t="shared" ca="1" si="10"/>
        <v>5.0744525547445258</v>
      </c>
      <c r="S27" s="111">
        <f t="shared" si="11"/>
        <v>0.66666666666666663</v>
      </c>
      <c r="T27" s="102">
        <f t="shared" ca="1" si="12"/>
        <v>77.916259889501021</v>
      </c>
      <c r="U27" s="157">
        <f t="shared" ca="1" si="13"/>
        <v>532</v>
      </c>
      <c r="V27" s="103">
        <f t="shared" ca="1" si="14"/>
        <v>0.18736632280557208</v>
      </c>
      <c r="W27" s="112">
        <f t="shared" si="15"/>
        <v>3.8351313941672245E-2</v>
      </c>
      <c r="X27" s="112">
        <f t="shared" si="16"/>
        <v>4.6272200000000031E-3</v>
      </c>
      <c r="Y27" s="112">
        <f ca="1">IF(Reset,1,T27/100*(S27^2+V27^2/12)*AE27/1000)</f>
        <v>0.22859038822990052</v>
      </c>
      <c r="Z27" s="112">
        <f ca="1">IF(Reset,1,(1-T27/100)*(S27^2+V27^2/12)*AE27/1000)</f>
        <v>6.4789181777800006E-2</v>
      </c>
      <c r="AA27" s="112">
        <f t="shared" si="17"/>
        <v>3.1999999999999997E-3</v>
      </c>
      <c r="AB27" s="112">
        <f t="shared" si="18"/>
        <v>2.2763139416722348E-3</v>
      </c>
      <c r="AC27" s="112">
        <f t="shared" ca="1" si="38"/>
        <v>0.34183441789104496</v>
      </c>
      <c r="AD27" s="32">
        <f ca="1">IF(Reset=1,150,AC27*Rth_typ+$A27)</f>
        <v>36.622370208295528</v>
      </c>
      <c r="AE27" s="33">
        <f t="shared" ca="1" si="19"/>
        <v>655.78737699981855</v>
      </c>
      <c r="AF27" s="33">
        <f t="shared" ca="1" si="20"/>
        <v>273.24474041659107</v>
      </c>
      <c r="AG27" s="160">
        <f t="shared" ca="1" si="21"/>
        <v>6.5178360484293432</v>
      </c>
      <c r="AH27" s="105">
        <f t="shared" ca="1" si="22"/>
        <v>5.0744525547445258</v>
      </c>
      <c r="AI27" s="113">
        <f t="shared" si="23"/>
        <v>0.33333333333333331</v>
      </c>
      <c r="AJ27" s="107">
        <f t="shared" ca="1" si="24"/>
        <v>73.796878942232894</v>
      </c>
      <c r="AK27" s="167">
        <f t="shared" ca="1" si="25"/>
        <v>635</v>
      </c>
      <c r="AL27" s="170">
        <f t="shared" ca="1" si="26"/>
        <v>0.17851310764480813</v>
      </c>
      <c r="AM27" s="171">
        <f t="shared" si="27"/>
        <v>3.8351313941672245E-2</v>
      </c>
      <c r="AN27" s="171">
        <f t="shared" si="28"/>
        <v>2.3136100000000015E-3</v>
      </c>
      <c r="AO27" s="171">
        <f ca="1">IF(Reset,1,AJ27/100*(AI27^2+AL27^2/12)*AU27/1000)</f>
        <v>5.1948562884821657E-2</v>
      </c>
      <c r="AP27" s="171">
        <f ca="1">IF(Reset,1,(1-AJ27/100)*(AI27^2+AL27^2/12)*AU27/1000)</f>
        <v>1.8445420748939095E-2</v>
      </c>
      <c r="AQ27" s="171">
        <f t="shared" si="29"/>
        <v>1.5999999999999999E-3</v>
      </c>
      <c r="AR27" s="171">
        <f t="shared" si="30"/>
        <v>2.2763139416722348E-3</v>
      </c>
      <c r="AS27" s="171">
        <f t="shared" ca="1" si="39"/>
        <v>0.11493522151710522</v>
      </c>
      <c r="AT27" s="34">
        <f ca="1">IF(Reset=1,150,AS27*Rth_typ+$A27)</f>
        <v>28.907797531581579</v>
      </c>
      <c r="AU27" s="172">
        <f t="shared" ca="1" si="31"/>
        <v>618.75742815159163</v>
      </c>
      <c r="AV27" s="172">
        <f t="shared" ca="1" si="32"/>
        <v>257.81559506316319</v>
      </c>
      <c r="AW27" s="173">
        <f t="shared" ca="1" si="33"/>
        <v>6.7558615313911403</v>
      </c>
      <c r="AX27" s="108">
        <f t="shared" ca="1" si="34"/>
        <v>5.0744525547445258</v>
      </c>
    </row>
    <row r="28" spans="1:50" s="58" customFormat="1" ht="12.75" customHeight="1" x14ac:dyDescent="0.2">
      <c r="A28" s="27">
        <v>25</v>
      </c>
      <c r="B28" s="109">
        <f t="shared" si="0"/>
        <v>6.9975000000000023</v>
      </c>
      <c r="C28" s="110">
        <f t="shared" si="1"/>
        <v>1</v>
      </c>
      <c r="D28" s="87">
        <f t="shared" ca="1" si="2"/>
        <v>86.379426069951066</v>
      </c>
      <c r="E28" s="155">
        <f t="shared" ca="1" si="3"/>
        <v>320</v>
      </c>
      <c r="F28" s="100">
        <f t="shared" ca="1" si="4"/>
        <v>0.18496966900448111</v>
      </c>
      <c r="G28" s="31">
        <f t="shared" si="35"/>
        <v>3.7195193251122874E-2</v>
      </c>
      <c r="H28" s="31">
        <f t="shared" si="36"/>
        <v>6.5286675000000042E-3</v>
      </c>
      <c r="I28" s="31">
        <f ca="1">IF(Reset,1,D28/100*(C28^2+F28^2/12)*O28/1000)</f>
        <v>0.63004240300304659</v>
      </c>
      <c r="J28" s="31">
        <f ca="1">IF(Reset,1,(1-D28/100)*(C28^2+F28^2/12)*O28/1000)</f>
        <v>9.9347026480810896E-2</v>
      </c>
      <c r="K28" s="31">
        <f t="shared" si="5"/>
        <v>4.7999999999999996E-3</v>
      </c>
      <c r="L28" s="31">
        <f t="shared" si="6"/>
        <v>2.207693251122864E-3</v>
      </c>
      <c r="M28" s="31">
        <f t="shared" ca="1" si="37"/>
        <v>0.78012098348610337</v>
      </c>
      <c r="N28" s="28">
        <f ca="1">IF(Reset=1,150,M28*Rth_typ+$A28)</f>
        <v>51.524113438527515</v>
      </c>
      <c r="O28" s="30">
        <f t="shared" ca="1" si="7"/>
        <v>727.31574450493213</v>
      </c>
      <c r="P28" s="30">
        <f t="shared" ca="1" si="8"/>
        <v>303.04822687705501</v>
      </c>
      <c r="Q28" s="29">
        <f t="shared" ca="1" si="9"/>
        <v>6.0116943510944179</v>
      </c>
      <c r="R28" s="100">
        <f t="shared" ca="1" si="10"/>
        <v>5.0744525547445258</v>
      </c>
      <c r="S28" s="111">
        <f t="shared" si="11"/>
        <v>0.66666666666666663</v>
      </c>
      <c r="T28" s="102">
        <f t="shared" ca="1" si="12"/>
        <v>80.495531845481935</v>
      </c>
      <c r="U28" s="157">
        <f t="shared" ca="1" si="13"/>
        <v>467</v>
      </c>
      <c r="V28" s="103">
        <f t="shared" ca="1" si="14"/>
        <v>0.17367407618204911</v>
      </c>
      <c r="W28" s="112">
        <f t="shared" si="15"/>
        <v>3.7195193251122874E-2</v>
      </c>
      <c r="X28" s="112">
        <f t="shared" si="16"/>
        <v>4.3524450000000025E-3</v>
      </c>
      <c r="Y28" s="112">
        <f ca="1">IF(Reset,1,T28/100*(S28^2+V28^2/12)*AE28/1000)</f>
        <v>0.23582789849284891</v>
      </c>
      <c r="Z28" s="112">
        <f ca="1">IF(Reset,1,(1-T28/100)*(S28^2+V28^2/12)*AE28/1000)</f>
        <v>5.7142273995160406E-2</v>
      </c>
      <c r="AA28" s="112">
        <f t="shared" si="17"/>
        <v>3.1999999999999997E-3</v>
      </c>
      <c r="AB28" s="112">
        <f t="shared" si="18"/>
        <v>2.207693251122864E-3</v>
      </c>
      <c r="AC28" s="112">
        <f t="shared" ca="1" si="38"/>
        <v>0.33992550399025506</v>
      </c>
      <c r="AD28" s="32">
        <f ca="1">IF(Reset=1,150,AC28*Rth_typ+$A28)</f>
        <v>36.557467135668674</v>
      </c>
      <c r="AE28" s="33">
        <f t="shared" ca="1" si="19"/>
        <v>655.47584225120966</v>
      </c>
      <c r="AF28" s="33">
        <f t="shared" ca="1" si="20"/>
        <v>273.11493427133735</v>
      </c>
      <c r="AG28" s="160">
        <f t="shared" ca="1" si="21"/>
        <v>6.3079346190800729</v>
      </c>
      <c r="AH28" s="105">
        <f t="shared" ca="1" si="22"/>
        <v>5.0744525547445258</v>
      </c>
      <c r="AI28" s="113">
        <f t="shared" si="23"/>
        <v>0.33333333333333331</v>
      </c>
      <c r="AJ28" s="107">
        <f t="shared" ca="1" si="24"/>
        <v>76.158765202309311</v>
      </c>
      <c r="AK28" s="167">
        <f t="shared" ca="1" si="25"/>
        <v>576</v>
      </c>
      <c r="AL28" s="170">
        <f t="shared" ca="1" si="26"/>
        <v>0.16540334915777349</v>
      </c>
      <c r="AM28" s="171">
        <f t="shared" si="27"/>
        <v>3.7195193251122874E-2</v>
      </c>
      <c r="AN28" s="171">
        <f t="shared" si="28"/>
        <v>2.1762225000000013E-3</v>
      </c>
      <c r="AO28" s="171">
        <f ca="1">IF(Reset,1,AJ28/100*(AI28^2+AL28^2/12)*AU28/1000)</f>
        <v>5.3411236977022186E-2</v>
      </c>
      <c r="AP28" s="171">
        <f ca="1">IF(Reset,1,(1-AJ28/100)*(AI28^2+AL28^2/12)*AU28/1000)</f>
        <v>1.6720200730955034E-2</v>
      </c>
      <c r="AQ28" s="171">
        <f t="shared" si="29"/>
        <v>1.5999999999999999E-3</v>
      </c>
      <c r="AR28" s="171">
        <f t="shared" si="30"/>
        <v>2.207693251122864E-3</v>
      </c>
      <c r="AS28" s="171">
        <f t="shared" ca="1" si="39"/>
        <v>0.11331054671022298</v>
      </c>
      <c r="AT28" s="34">
        <f ca="1">IF(Reset=1,150,AS28*Rth_typ+$A28)</f>
        <v>28.852558588147581</v>
      </c>
      <c r="AU28" s="172">
        <f t="shared" ca="1" si="31"/>
        <v>618.49228122310842</v>
      </c>
      <c r="AV28" s="172">
        <f t="shared" ca="1" si="32"/>
        <v>257.70511717629518</v>
      </c>
      <c r="AW28" s="173">
        <f t="shared" ca="1" si="33"/>
        <v>6.5458431607848295</v>
      </c>
      <c r="AX28" s="108">
        <f t="shared" ca="1" si="34"/>
        <v>5.0744525547445258</v>
      </c>
    </row>
    <row r="29" spans="1:50" s="58" customFormat="1" ht="12.75" customHeight="1" x14ac:dyDescent="0.2">
      <c r="A29" s="27">
        <v>25</v>
      </c>
      <c r="B29" s="109">
        <f t="shared" si="0"/>
        <v>6.780000000000002</v>
      </c>
      <c r="C29" s="110">
        <f t="shared" si="1"/>
        <v>1</v>
      </c>
      <c r="D29" s="87">
        <f t="shared" ca="1" si="2"/>
        <v>89.47497095568302</v>
      </c>
      <c r="E29" s="155">
        <f t="shared" ca="1" si="3"/>
        <v>243</v>
      </c>
      <c r="F29" s="100">
        <f t="shared" ca="1" si="4"/>
        <v>0.16948491299867982</v>
      </c>
      <c r="G29" s="31">
        <f t="shared" si="35"/>
        <v>3.603907256057351E-2</v>
      </c>
      <c r="H29" s="31">
        <f t="shared" si="36"/>
        <v>6.1291200000000044E-3</v>
      </c>
      <c r="I29" s="31">
        <f ca="1">IF(Reset,1,D29/100*(C29^2+F29^2/12)*O29/1000)</f>
        <v>0.65198085918909721</v>
      </c>
      <c r="J29" s="31">
        <f ca="1">IF(Reset,1,(1-D29/100)*(C29^2+F29^2/12)*O29/1000)</f>
        <v>7.6693151235587412E-2</v>
      </c>
      <c r="K29" s="31">
        <f t="shared" si="5"/>
        <v>4.7999999999999996E-3</v>
      </c>
      <c r="L29" s="31">
        <f t="shared" si="6"/>
        <v>2.1390725605734931E-3</v>
      </c>
      <c r="M29" s="31">
        <f t="shared" ca="1" si="37"/>
        <v>0.77778127554583154</v>
      </c>
      <c r="N29" s="28">
        <f ca="1">IF(Reset=1,150,M29*Rth_typ+$A29)</f>
        <v>51.444563368558271</v>
      </c>
      <c r="O29" s="30">
        <f t="shared" ca="1" si="7"/>
        <v>726.93390416907971</v>
      </c>
      <c r="P29" s="30">
        <f t="shared" ca="1" si="8"/>
        <v>302.88912673711656</v>
      </c>
      <c r="Q29" s="29">
        <f t="shared" ca="1" si="9"/>
        <v>5.8019636182636081</v>
      </c>
      <c r="R29" s="100">
        <f t="shared" ca="1" si="10"/>
        <v>5.0744525547445258</v>
      </c>
      <c r="S29" s="111">
        <f t="shared" si="11"/>
        <v>0.66666666666666663</v>
      </c>
      <c r="T29" s="102">
        <f t="shared" ca="1" si="12"/>
        <v>83.251544223877843</v>
      </c>
      <c r="U29" s="157">
        <f t="shared" ca="1" si="13"/>
        <v>398</v>
      </c>
      <c r="V29" s="103">
        <f t="shared" ca="1" si="14"/>
        <v>0.15904452590563112</v>
      </c>
      <c r="W29" s="112">
        <f t="shared" si="15"/>
        <v>3.603907256057351E-2</v>
      </c>
      <c r="X29" s="112">
        <f t="shared" si="16"/>
        <v>4.0860800000000032E-3</v>
      </c>
      <c r="Y29" s="112">
        <f ca="1">IF(Reset,1,T29/100*(S29^2+V29^2/12)*AE29/1000)</f>
        <v>0.24356586635099647</v>
      </c>
      <c r="Z29" s="112">
        <f ca="1">IF(Reset,1,(1-T29/100)*(S29^2+V29^2/12)*AE29/1000)</f>
        <v>4.9000318002299877E-2</v>
      </c>
      <c r="AA29" s="112">
        <f t="shared" si="17"/>
        <v>3.1999999999999997E-3</v>
      </c>
      <c r="AB29" s="112">
        <f t="shared" si="18"/>
        <v>2.1390725605734931E-3</v>
      </c>
      <c r="AC29" s="112">
        <f t="shared" ca="1" si="38"/>
        <v>0.33803040947444335</v>
      </c>
      <c r="AD29" s="32">
        <f ca="1">IF(Reset=1,150,AC29*Rth_typ+$A29)</f>
        <v>36.493033922131076</v>
      </c>
      <c r="AE29" s="33">
        <f t="shared" ca="1" si="19"/>
        <v>655.16656282622921</v>
      </c>
      <c r="AF29" s="33">
        <f t="shared" ca="1" si="20"/>
        <v>272.98606784426215</v>
      </c>
      <c r="AG29" s="160">
        <f t="shared" ca="1" si="21"/>
        <v>6.0980317160021071</v>
      </c>
      <c r="AH29" s="105">
        <f t="shared" ca="1" si="22"/>
        <v>5.0744525547445258</v>
      </c>
      <c r="AI29" s="113">
        <f t="shared" si="23"/>
        <v>0.33333333333333331</v>
      </c>
      <c r="AJ29" s="107">
        <f t="shared" ca="1" si="24"/>
        <v>78.67688408100156</v>
      </c>
      <c r="AK29" s="167">
        <f t="shared" ca="1" si="25"/>
        <v>513</v>
      </c>
      <c r="AL29" s="170">
        <f t="shared" ca="1" si="26"/>
        <v>0.15142677544453512</v>
      </c>
      <c r="AM29" s="171">
        <f t="shared" si="27"/>
        <v>3.603907256057351E-2</v>
      </c>
      <c r="AN29" s="171">
        <f t="shared" si="28"/>
        <v>2.0430400000000016E-3</v>
      </c>
      <c r="AO29" s="171">
        <f ca="1">IF(Reset,1,AJ29/100*(AI29^2+AL29^2/12)*AU29/1000)</f>
        <v>5.4974211567321726E-2</v>
      </c>
      <c r="AP29" s="171">
        <f ca="1">IF(Reset,1,(1-AJ29/100)*(AI29^2+AL29^2/12)*AU29/1000)</f>
        <v>1.4899185440525179E-2</v>
      </c>
      <c r="AQ29" s="171">
        <f t="shared" si="29"/>
        <v>1.5999999999999999E-3</v>
      </c>
      <c r="AR29" s="171">
        <f t="shared" si="30"/>
        <v>2.1390725605734931E-3</v>
      </c>
      <c r="AS29" s="171">
        <f t="shared" ca="1" si="39"/>
        <v>0.11169458212899393</v>
      </c>
      <c r="AT29" s="34">
        <f ca="1">IF(Reset=1,150,AS29*Rth_typ+$A29)</f>
        <v>28.797615792385795</v>
      </c>
      <c r="AU29" s="172">
        <f t="shared" ca="1" si="31"/>
        <v>618.22855580345185</v>
      </c>
      <c r="AV29" s="172">
        <f t="shared" ca="1" si="32"/>
        <v>257.59523158477157</v>
      </c>
      <c r="AW29" s="173">
        <f t="shared" ca="1" si="33"/>
        <v>6.3358243257399955</v>
      </c>
      <c r="AX29" s="108">
        <f t="shared" ca="1" si="34"/>
        <v>5.0744525547445258</v>
      </c>
    </row>
    <row r="30" spans="1:50" s="58" customFormat="1" ht="12.75" customHeight="1" x14ac:dyDescent="0.2">
      <c r="A30" s="27">
        <v>25</v>
      </c>
      <c r="B30" s="109">
        <f t="shared" si="0"/>
        <v>6.5625000000000018</v>
      </c>
      <c r="C30" s="110">
        <f t="shared" si="1"/>
        <v>1</v>
      </c>
      <c r="D30" s="87">
        <f t="shared" ca="1" si="2"/>
        <v>92.800941234271932</v>
      </c>
      <c r="E30" s="155">
        <f t="shared" ca="1" si="3"/>
        <v>159</v>
      </c>
      <c r="F30" s="100">
        <f t="shared" ca="1" si="4"/>
        <v>0.15284956427370952</v>
      </c>
      <c r="G30" s="31">
        <f t="shared" si="35"/>
        <v>3.4882951870024131E-2</v>
      </c>
      <c r="H30" s="31">
        <f t="shared" si="36"/>
        <v>5.7421875000000034E-3</v>
      </c>
      <c r="I30" s="31">
        <f ca="1">IF(Reset,1,D30/100*(C30^2+F30^2/12)*O30/1000)</f>
        <v>0.6755635974522517</v>
      </c>
      <c r="J30" s="31">
        <f ca="1">IF(Reset,1,(1-D30/100)*(C30^2+F30^2/12)*O30/1000)</f>
        <v>5.2407033521006278E-2</v>
      </c>
      <c r="K30" s="31">
        <f t="shared" si="5"/>
        <v>4.7999999999999996E-3</v>
      </c>
      <c r="L30" s="31">
        <f t="shared" si="6"/>
        <v>2.0704518700241218E-3</v>
      </c>
      <c r="M30" s="31">
        <f t="shared" ca="1" si="37"/>
        <v>0.77546622221330619</v>
      </c>
      <c r="N30" s="28">
        <f ca="1">IF(Reset=1,150,M30*Rth_typ+$A30)</f>
        <v>51.365851555252412</v>
      </c>
      <c r="O30" s="30">
        <f t="shared" ca="1" si="7"/>
        <v>726.55608746521159</v>
      </c>
      <c r="P30" s="30">
        <f t="shared" ca="1" si="8"/>
        <v>302.73170311050484</v>
      </c>
      <c r="Q30" s="29">
        <f t="shared" ca="1" si="9"/>
        <v>5.5922289416028503</v>
      </c>
      <c r="R30" s="100">
        <f t="shared" ca="1" si="10"/>
        <v>5.0744525547445258</v>
      </c>
      <c r="S30" s="111">
        <f t="shared" si="11"/>
        <v>0.66666666666666663</v>
      </c>
      <c r="T30" s="102">
        <f t="shared" ca="1" si="12"/>
        <v>86.203113935926211</v>
      </c>
      <c r="U30" s="157">
        <f t="shared" ca="1" si="13"/>
        <v>324</v>
      </c>
      <c r="V30" s="103">
        <f t="shared" ca="1" si="14"/>
        <v>0.14337792252071851</v>
      </c>
      <c r="W30" s="112">
        <f t="shared" si="15"/>
        <v>3.4882951870024131E-2</v>
      </c>
      <c r="X30" s="112">
        <f t="shared" si="16"/>
        <v>3.8281250000000017E-3</v>
      </c>
      <c r="Y30" s="112">
        <f ca="1">IF(Reset,1,T30/100*(S30^2+V30^2/12)*AE30/1000)</f>
        <v>0.25186028848039005</v>
      </c>
      <c r="Z30" s="112">
        <f ca="1">IF(Reset,1,(1-T30/100)*(S30^2+V30^2/12)*AE30/1000)</f>
        <v>4.0310466125522353E-2</v>
      </c>
      <c r="AA30" s="112">
        <f t="shared" si="17"/>
        <v>3.1999999999999997E-3</v>
      </c>
      <c r="AB30" s="112">
        <f t="shared" si="18"/>
        <v>2.0704518700241218E-3</v>
      </c>
      <c r="AC30" s="112">
        <f t="shared" ca="1" si="38"/>
        <v>0.33615228334596065</v>
      </c>
      <c r="AD30" s="32">
        <f ca="1">IF(Reset=1,150,AC30*Rth_typ+$A30)</f>
        <v>36.429177633762663</v>
      </c>
      <c r="AE30" s="33">
        <f t="shared" ca="1" si="19"/>
        <v>654.86005264206074</v>
      </c>
      <c r="AF30" s="33">
        <f t="shared" ca="1" si="20"/>
        <v>272.85835526752533</v>
      </c>
      <c r="AG30" s="160">
        <f t="shared" ca="1" si="21"/>
        <v>5.8881270033791173</v>
      </c>
      <c r="AH30" s="105">
        <f t="shared" ca="1" si="22"/>
        <v>5.0744525547445258</v>
      </c>
      <c r="AI30" s="113">
        <f t="shared" si="23"/>
        <v>0.33333333333333331</v>
      </c>
      <c r="AJ30" s="107">
        <f t="shared" ca="1" si="24"/>
        <v>81.367269767476643</v>
      </c>
      <c r="AK30" s="167">
        <f t="shared" ca="1" si="25"/>
        <v>445</v>
      </c>
      <c r="AL30" s="170">
        <f t="shared" ca="1" si="26"/>
        <v>0.13649444194857663</v>
      </c>
      <c r="AM30" s="171">
        <f t="shared" si="27"/>
        <v>3.4882951870024131E-2</v>
      </c>
      <c r="AN30" s="171">
        <f t="shared" si="28"/>
        <v>1.9140625000000008E-3</v>
      </c>
      <c r="AO30" s="171">
        <f ca="1">IF(Reset,1,AJ30/100*(AI30^2+AL30^2/12)*AU30/1000)</f>
        <v>5.6649840960420965E-2</v>
      </c>
      <c r="AP30" s="171">
        <f ca="1">IF(Reset,1,(1-AJ30/100)*(AI30^2+AL30^2/12)*AU30/1000)</f>
        <v>1.2972552813278571E-2</v>
      </c>
      <c r="AQ30" s="171">
        <f t="shared" si="29"/>
        <v>1.5999999999999999E-3</v>
      </c>
      <c r="AR30" s="171">
        <f t="shared" si="30"/>
        <v>2.0704518700241218E-3</v>
      </c>
      <c r="AS30" s="171">
        <f t="shared" ca="1" si="39"/>
        <v>0.11008986001374779</v>
      </c>
      <c r="AT30" s="34">
        <f ca="1">IF(Reset=1,150,AS30*Rth_typ+$A30)</f>
        <v>28.743055240467424</v>
      </c>
      <c r="AU30" s="172">
        <f t="shared" ca="1" si="31"/>
        <v>617.96666515424363</v>
      </c>
      <c r="AV30" s="172">
        <f t="shared" ca="1" si="32"/>
        <v>257.48611048093483</v>
      </c>
      <c r="AW30" s="173">
        <f t="shared" ca="1" si="33"/>
        <v>6.1258048912348846</v>
      </c>
      <c r="AX30" s="108">
        <f t="shared" ca="1" si="34"/>
        <v>5.0744525547445258</v>
      </c>
    </row>
    <row r="31" spans="1:50" s="58" customFormat="1" ht="12.75" customHeight="1" x14ac:dyDescent="0.2">
      <c r="A31" s="27">
        <v>25</v>
      </c>
      <c r="B31" s="109">
        <f t="shared" si="0"/>
        <v>6.3450000000000015</v>
      </c>
      <c r="C31" s="110">
        <f t="shared" si="1"/>
        <v>1</v>
      </c>
      <c r="D31" s="87">
        <f t="shared" ca="1" si="2"/>
        <v>95.8</v>
      </c>
      <c r="E31" s="155">
        <f t="shared" ca="1" si="3"/>
        <v>85</v>
      </c>
      <c r="F31" s="100">
        <f t="shared" ca="1" si="4"/>
        <v>0.13411255173885889</v>
      </c>
      <c r="G31" s="31">
        <f t="shared" si="35"/>
        <v>3.372683117947476E-2</v>
      </c>
      <c r="H31" s="31">
        <f t="shared" si="36"/>
        <v>5.3678700000000029E-3</v>
      </c>
      <c r="I31" s="31">
        <f ca="1">IF(Reset,1,D31/100*(C31^2+F31^2/12)*O31/1000)</f>
        <v>0.69672375842901035</v>
      </c>
      <c r="J31" s="31">
        <f ca="1">IF(Reset,1,(1-D31/100)*(C31^2+F31^2/12)*O31/1000)</f>
        <v>3.0545300473923238E-2</v>
      </c>
      <c r="K31" s="31">
        <f t="shared" si="5"/>
        <v>4.7999999999999996E-3</v>
      </c>
      <c r="L31" s="31">
        <f t="shared" si="6"/>
        <v>2.001831179474751E-3</v>
      </c>
      <c r="M31" s="31">
        <f t="shared" ca="1" si="37"/>
        <v>0.77316559126188311</v>
      </c>
      <c r="N31" s="28">
        <f ca="1">IF(Reset=1,150,M31*Rth_typ+$A31)</f>
        <v>51.287630102904025</v>
      </c>
      <c r="O31" s="30">
        <f t="shared" ca="1" si="7"/>
        <v>726.18062449393938</v>
      </c>
      <c r="P31" s="30">
        <f t="shared" ca="1" si="8"/>
        <v>302.57526020580804</v>
      </c>
      <c r="Q31" s="29">
        <f t="shared" ca="1" si="9"/>
        <v>5.5334875211025114</v>
      </c>
      <c r="R31" s="100">
        <f t="shared" ca="1" si="10"/>
        <v>5.0744525547445258</v>
      </c>
      <c r="S31" s="111">
        <f t="shared" si="11"/>
        <v>0.66666666666666663</v>
      </c>
      <c r="T31" s="102">
        <f t="shared" ca="1" si="12"/>
        <v>89.371829090691136</v>
      </c>
      <c r="U31" s="157">
        <f t="shared" ca="1" si="13"/>
        <v>245</v>
      </c>
      <c r="V31" s="103">
        <f t="shared" ca="1" si="14"/>
        <v>0.12655983782474317</v>
      </c>
      <c r="W31" s="112">
        <f t="shared" si="15"/>
        <v>3.372683117947476E-2</v>
      </c>
      <c r="X31" s="112">
        <f t="shared" si="16"/>
        <v>3.5785800000000018E-3</v>
      </c>
      <c r="Y31" s="112">
        <f ca="1">IF(Reset,1,T31/100*(S31^2+V31^2/12)*AE31/1000)</f>
        <v>0.26077618231540489</v>
      </c>
      <c r="Z31" s="112">
        <f ca="1">IF(Reset,1,(1-T31/100)*(S31^2+V31^2/12)*AE31/1000)</f>
        <v>3.1011716588151324E-2</v>
      </c>
      <c r="AA31" s="112">
        <f t="shared" si="17"/>
        <v>3.1999999999999997E-3</v>
      </c>
      <c r="AB31" s="112">
        <f t="shared" si="18"/>
        <v>2.001831179474751E-3</v>
      </c>
      <c r="AC31" s="112">
        <f t="shared" ca="1" si="38"/>
        <v>0.33429514126250576</v>
      </c>
      <c r="AD31" s="32">
        <f ca="1">IF(Reset=1,150,AC31*Rth_typ+$A31)</f>
        <v>36.366034802925199</v>
      </c>
      <c r="AE31" s="33">
        <f t="shared" ca="1" si="19"/>
        <v>654.55696705404091</v>
      </c>
      <c r="AF31" s="33">
        <f t="shared" ca="1" si="20"/>
        <v>272.73206960585037</v>
      </c>
      <c r="AG31" s="160">
        <f t="shared" ca="1" si="21"/>
        <v>5.6782200529727991</v>
      </c>
      <c r="AH31" s="105">
        <f t="shared" ca="1" si="22"/>
        <v>5.0744525547445258</v>
      </c>
      <c r="AI31" s="113">
        <f t="shared" si="23"/>
        <v>0.33333333333333331</v>
      </c>
      <c r="AJ31" s="107">
        <f t="shared" ca="1" si="24"/>
        <v>84.24822890956537</v>
      </c>
      <c r="AK31" s="167">
        <f t="shared" ca="1" si="25"/>
        <v>373</v>
      </c>
      <c r="AL31" s="170">
        <f t="shared" ca="1" si="26"/>
        <v>0.12050480256804293</v>
      </c>
      <c r="AM31" s="171">
        <f t="shared" si="27"/>
        <v>3.372683117947476E-2</v>
      </c>
      <c r="AN31" s="171">
        <f t="shared" si="28"/>
        <v>1.7892900000000009E-3</v>
      </c>
      <c r="AO31" s="171">
        <f ca="1">IF(Reset,1,AJ31/100*(AI31^2+AL31^2/12)*AU31/1000)</f>
        <v>5.8452789175742981E-2</v>
      </c>
      <c r="AP31" s="171">
        <f ca="1">IF(Reset,1,(1-AJ31/100)*(AI31^2+AL31^2/12)*AU31/1000)</f>
        <v>1.0928834547751547E-2</v>
      </c>
      <c r="AQ31" s="171">
        <f t="shared" si="29"/>
        <v>1.5999999999999999E-3</v>
      </c>
      <c r="AR31" s="171">
        <f t="shared" si="30"/>
        <v>2.001831179474751E-3</v>
      </c>
      <c r="AS31" s="171">
        <f t="shared" ca="1" si="39"/>
        <v>0.10849957608244404</v>
      </c>
      <c r="AT31" s="34">
        <f ca="1">IF(Reset=1,150,AS31*Rth_typ+$A31)</f>
        <v>28.688985586803099</v>
      </c>
      <c r="AU31" s="172">
        <f t="shared" ca="1" si="31"/>
        <v>617.70713081665485</v>
      </c>
      <c r="AV31" s="172">
        <f t="shared" ca="1" si="32"/>
        <v>257.37797117360617</v>
      </c>
      <c r="AW31" s="173">
        <f t="shared" ca="1" si="33"/>
        <v>5.9157846868704045</v>
      </c>
      <c r="AX31" s="108">
        <f t="shared" ca="1" si="34"/>
        <v>5.0744525547445258</v>
      </c>
    </row>
    <row r="32" spans="1:50" s="58" customFormat="1" ht="12.75" customHeight="1" x14ac:dyDescent="0.2">
      <c r="A32" s="27">
        <v>25</v>
      </c>
      <c r="B32" s="109">
        <f t="shared" si="0"/>
        <v>6.1275000000000013</v>
      </c>
      <c r="C32" s="110">
        <f t="shared" si="1"/>
        <v>1</v>
      </c>
      <c r="D32" s="87">
        <f t="shared" ca="1" si="2"/>
        <v>95.8</v>
      </c>
      <c r="E32" s="155">
        <f t="shared" ca="1" si="3"/>
        <v>85</v>
      </c>
      <c r="F32" s="100">
        <f t="shared" ca="1" si="4"/>
        <v>0.11043588946282118</v>
      </c>
      <c r="G32" s="31">
        <f t="shared" si="35"/>
        <v>3.2570710488925382E-2</v>
      </c>
      <c r="H32" s="31">
        <f t="shared" si="36"/>
        <v>5.0061675000000021E-3</v>
      </c>
      <c r="I32" s="31">
        <f ca="1">IF(Reset,1,D32/100*(C32^2+F32^2/12)*O32/1000)</f>
        <v>0.69602577474443417</v>
      </c>
      <c r="J32" s="31">
        <f ca="1">IF(Reset,1,(1-D32/100)*(C32^2+F32^2/12)*O32/1000)</f>
        <v>3.051469993660362E-2</v>
      </c>
      <c r="K32" s="31">
        <f t="shared" si="5"/>
        <v>4.7999999999999996E-3</v>
      </c>
      <c r="L32" s="31">
        <f t="shared" si="6"/>
        <v>1.9332104889253801E-3</v>
      </c>
      <c r="M32" s="31">
        <f t="shared" ca="1" si="37"/>
        <v>0.77085056315888856</v>
      </c>
      <c r="N32" s="28">
        <f ca="1">IF(Reset=1,150,M32*Rth_typ+$A32)</f>
        <v>51.208919147402213</v>
      </c>
      <c r="O32" s="30">
        <f t="shared" ca="1" si="7"/>
        <v>725.80281190753067</v>
      </c>
      <c r="P32" s="30">
        <f t="shared" ca="1" si="8"/>
        <v>302.41783829480443</v>
      </c>
      <c r="Q32" s="29">
        <f t="shared" ca="1" si="9"/>
        <v>5.3182122103681788</v>
      </c>
      <c r="R32" s="100">
        <f t="shared" ca="1" si="10"/>
        <v>5.0744525547445258</v>
      </c>
      <c r="S32" s="111">
        <f t="shared" si="11"/>
        <v>0.66666666666666663</v>
      </c>
      <c r="T32" s="102">
        <f t="shared" ca="1" si="12"/>
        <v>92.782579147399431</v>
      </c>
      <c r="U32" s="157">
        <f t="shared" ca="1" si="13"/>
        <v>160</v>
      </c>
      <c r="V32" s="103">
        <f t="shared" ca="1" si="14"/>
        <v>0.10845835987874612</v>
      </c>
      <c r="W32" s="112">
        <f t="shared" si="15"/>
        <v>3.2570710488925382E-2</v>
      </c>
      <c r="X32" s="112">
        <f t="shared" si="16"/>
        <v>3.3374450000000014E-3</v>
      </c>
      <c r="Y32" s="112">
        <f ca="1">IF(Reset,1,T32/100*(S32^2+V32^2/12)*AE32/1000)</f>
        <v>0.27038953919466824</v>
      </c>
      <c r="Z32" s="112">
        <f ca="1">IF(Reset,1,(1-T32/100)*(S32^2+V32^2/12)*AE32/1000)</f>
        <v>2.1033205979415315E-2</v>
      </c>
      <c r="AA32" s="112">
        <f t="shared" si="17"/>
        <v>3.1999999999999997E-3</v>
      </c>
      <c r="AB32" s="112">
        <f t="shared" si="18"/>
        <v>1.9332104889253801E-3</v>
      </c>
      <c r="AC32" s="112">
        <f t="shared" ca="1" si="38"/>
        <v>0.33246411115193431</v>
      </c>
      <c r="AD32" s="32">
        <f ca="1">IF(Reset=1,150,AC32*Rth_typ+$A32)</f>
        <v>36.303779779165765</v>
      </c>
      <c r="AE32" s="33">
        <f t="shared" ca="1" si="19"/>
        <v>654.25814293999565</v>
      </c>
      <c r="AF32" s="33">
        <f t="shared" ca="1" si="20"/>
        <v>272.60755955833156</v>
      </c>
      <c r="AG32" s="160">
        <f t="shared" ca="1" si="21"/>
        <v>5.4683103179299879</v>
      </c>
      <c r="AH32" s="105">
        <f t="shared" ca="1" si="22"/>
        <v>5.0744525547445258</v>
      </c>
      <c r="AI32" s="113">
        <f t="shared" si="23"/>
        <v>0.33333333333333331</v>
      </c>
      <c r="AJ32" s="107">
        <f t="shared" ca="1" si="24"/>
        <v>87.340758152451656</v>
      </c>
      <c r="AK32" s="167">
        <f t="shared" ca="1" si="25"/>
        <v>296</v>
      </c>
      <c r="AL32" s="170">
        <f t="shared" ca="1" si="26"/>
        <v>0.10334139536656627</v>
      </c>
      <c r="AM32" s="171">
        <f t="shared" si="27"/>
        <v>3.2570710488925382E-2</v>
      </c>
      <c r="AN32" s="171">
        <f t="shared" si="28"/>
        <v>1.6687225000000007E-3</v>
      </c>
      <c r="AO32" s="171">
        <f ca="1">IF(Reset,1,AJ32/100*(AI32^2+AL32^2/12)*AU32/1000)</f>
        <v>6.0400611340007647E-2</v>
      </c>
      <c r="AP32" s="171">
        <f ca="1">IF(Reset,1,(1-AJ32/100)*(AI32^2+AL32^2/12)*AU32/1000)</f>
        <v>8.7545146489143993E-3</v>
      </c>
      <c r="AQ32" s="171">
        <f t="shared" si="29"/>
        <v>1.5999999999999999E-3</v>
      </c>
      <c r="AR32" s="171">
        <f t="shared" si="30"/>
        <v>1.9332104889253801E-3</v>
      </c>
      <c r="AS32" s="171">
        <f t="shared" ca="1" si="39"/>
        <v>0.10692776946677281</v>
      </c>
      <c r="AT32" s="34">
        <f ca="1">IF(Reset=1,150,AS32*Rth_typ+$A32)</f>
        <v>28.635544161870275</v>
      </c>
      <c r="AU32" s="172">
        <f t="shared" ca="1" si="31"/>
        <v>617.45061197697737</v>
      </c>
      <c r="AV32" s="172">
        <f t="shared" ca="1" si="32"/>
        <v>257.27108832374057</v>
      </c>
      <c r="AW32" s="173">
        <f t="shared" ca="1" si="33"/>
        <v>5.7057634972757452</v>
      </c>
      <c r="AX32" s="108">
        <f t="shared" ca="1" si="34"/>
        <v>5.0744525547445258</v>
      </c>
    </row>
    <row r="33" spans="1:50" s="58" customFormat="1" ht="12.75" customHeight="1" x14ac:dyDescent="0.2">
      <c r="A33" s="27">
        <v>25</v>
      </c>
      <c r="B33" s="109">
        <f t="shared" si="0"/>
        <v>5.910000000000001</v>
      </c>
      <c r="C33" s="110">
        <f t="shared" si="1"/>
        <v>1</v>
      </c>
      <c r="D33" s="87">
        <f t="shared" ca="1" si="2"/>
        <v>95.8</v>
      </c>
      <c r="E33" s="155">
        <f t="shared" ca="1" si="3"/>
        <v>85</v>
      </c>
      <c r="F33" s="100">
        <f t="shared" ca="1" si="4"/>
        <v>8.6759178047486396E-2</v>
      </c>
      <c r="G33" s="31">
        <f t="shared" si="35"/>
        <v>3.1414589798376011E-2</v>
      </c>
      <c r="H33" s="31">
        <f t="shared" si="36"/>
        <v>4.6570800000000018E-3</v>
      </c>
      <c r="I33" s="31">
        <f ca="1">IF(Reset,1,D33/100*(C33^2+F33^2/12)*O33/1000)</f>
        <v>0.69540816976688136</v>
      </c>
      <c r="J33" s="31">
        <f ca="1">IF(Reset,1,(1-D33/100)*(C33^2+F33^2/12)*O33/1000)</f>
        <v>3.0487623309195244E-2</v>
      </c>
      <c r="K33" s="31">
        <f t="shared" si="5"/>
        <v>4.7999999999999996E-3</v>
      </c>
      <c r="L33" s="31">
        <f t="shared" si="6"/>
        <v>1.8645897983760092E-3</v>
      </c>
      <c r="M33" s="31">
        <f t="shared" ca="1" si="37"/>
        <v>0.76863205267282864</v>
      </c>
      <c r="N33" s="28">
        <f ca="1">IF(Reset=1,150,M33*Rth_typ+$A33)</f>
        <v>51.133489790876169</v>
      </c>
      <c r="O33" s="30">
        <f t="shared" ca="1" si="7"/>
        <v>725.44075099620557</v>
      </c>
      <c r="P33" s="30">
        <f t="shared" ca="1" si="8"/>
        <v>302.26697958175237</v>
      </c>
      <c r="Q33" s="29">
        <f t="shared" ca="1" si="9"/>
        <v>5.1029212260608183</v>
      </c>
      <c r="R33" s="100">
        <f t="shared" ca="1" si="10"/>
        <v>5.0744525547445258</v>
      </c>
      <c r="S33" s="111">
        <f t="shared" si="11"/>
        <v>0.66666666666666663</v>
      </c>
      <c r="T33" s="102">
        <f t="shared" ca="1" si="12"/>
        <v>95.8</v>
      </c>
      <c r="U33" s="157">
        <f t="shared" ca="1" si="13"/>
        <v>85</v>
      </c>
      <c r="V33" s="103">
        <f t="shared" ca="1" si="14"/>
        <v>8.8308350961019563E-2</v>
      </c>
      <c r="W33" s="112">
        <f t="shared" si="15"/>
        <v>3.1414589798376011E-2</v>
      </c>
      <c r="X33" s="112">
        <f t="shared" si="16"/>
        <v>3.1047200000000009E-3</v>
      </c>
      <c r="Y33" s="112">
        <f ca="1">IF(Reset,1,T33/100*(S33^2+V33^2/12)*AE33/1000)</f>
        <v>0.27885031077282674</v>
      </c>
      <c r="Z33" s="112">
        <f ca="1">IF(Reset,1,(1-T33/100)*(S33^2+V33^2/12)*AE33/1000)</f>
        <v>1.2225170200896383E-2</v>
      </c>
      <c r="AA33" s="112">
        <f t="shared" si="17"/>
        <v>3.1999999999999997E-3</v>
      </c>
      <c r="AB33" s="112">
        <f t="shared" si="18"/>
        <v>1.8645897983760092E-3</v>
      </c>
      <c r="AC33" s="112">
        <f t="shared" ca="1" si="38"/>
        <v>0.33065938057047511</v>
      </c>
      <c r="AD33" s="32">
        <f ca="1">IF(Reset=1,150,AC33*Rth_typ+$A33)</f>
        <v>36.242418939396153</v>
      </c>
      <c r="AE33" s="33">
        <f t="shared" ca="1" si="19"/>
        <v>653.96361090910159</v>
      </c>
      <c r="AF33" s="33">
        <f t="shared" ca="1" si="20"/>
        <v>272.48483787879229</v>
      </c>
      <c r="AG33" s="160">
        <f t="shared" ca="1" si="21"/>
        <v>5.4026176391077714</v>
      </c>
      <c r="AH33" s="105">
        <f t="shared" ca="1" si="22"/>
        <v>5.0744525547445258</v>
      </c>
      <c r="AI33" s="113">
        <f t="shared" si="23"/>
        <v>0.33333333333333331</v>
      </c>
      <c r="AJ33" s="107">
        <f t="shared" ca="1" si="24"/>
        <v>90.669057304533126</v>
      </c>
      <c r="AK33" s="167">
        <f t="shared" ca="1" si="25"/>
        <v>213</v>
      </c>
      <c r="AL33" s="170">
        <f t="shared" ca="1" si="26"/>
        <v>8.486999858916161E-2</v>
      </c>
      <c r="AM33" s="171">
        <f t="shared" si="27"/>
        <v>3.1414589798376011E-2</v>
      </c>
      <c r="AN33" s="171">
        <f t="shared" si="28"/>
        <v>1.5523600000000005E-3</v>
      </c>
      <c r="AO33" s="171">
        <f ca="1">IF(Reset,1,AJ33/100*(AI33^2+AL33^2/12)*AU33/1000)</f>
        <v>6.2514518034284441E-2</v>
      </c>
      <c r="AP33" s="171">
        <f ca="1">IF(Reset,1,(1-AJ33/100)*(AI33^2+AL33^2/12)*AU33/1000)</f>
        <v>6.4335000578358758E-3</v>
      </c>
      <c r="AQ33" s="171">
        <f t="shared" si="29"/>
        <v>1.5999999999999999E-3</v>
      </c>
      <c r="AR33" s="171">
        <f t="shared" si="30"/>
        <v>1.8645897983760092E-3</v>
      </c>
      <c r="AS33" s="171">
        <f t="shared" ca="1" si="39"/>
        <v>0.10537955768887233</v>
      </c>
      <c r="AT33" s="34">
        <f ca="1">IF(Reset=1,150,AS33*Rth_typ+$A33)</f>
        <v>28.582904961421658</v>
      </c>
      <c r="AU33" s="172">
        <f t="shared" ca="1" si="31"/>
        <v>617.19794381482393</v>
      </c>
      <c r="AV33" s="172">
        <f t="shared" ca="1" si="32"/>
        <v>257.16580992284332</v>
      </c>
      <c r="AW33" s="173">
        <f t="shared" ca="1" si="33"/>
        <v>5.4957410495791681</v>
      </c>
      <c r="AX33" s="108">
        <f t="shared" ca="1" si="34"/>
        <v>5.0744525547445258</v>
      </c>
    </row>
    <row r="34" spans="1:50" s="58" customFormat="1" ht="12.75" customHeight="1" x14ac:dyDescent="0.2">
      <c r="A34" s="27">
        <v>25</v>
      </c>
      <c r="B34" s="109">
        <f t="shared" si="0"/>
        <v>5.6925000000000008</v>
      </c>
      <c r="C34" s="110">
        <f t="shared" si="1"/>
        <v>1</v>
      </c>
      <c r="D34" s="87">
        <f t="shared" ca="1" si="2"/>
        <v>95.8</v>
      </c>
      <c r="E34" s="155">
        <f t="shared" ca="1" si="3"/>
        <v>85</v>
      </c>
      <c r="F34" s="100">
        <f t="shared" ca="1" si="4"/>
        <v>6.3082417565531998E-2</v>
      </c>
      <c r="G34" s="31">
        <f t="shared" si="35"/>
        <v>3.0258469107826643E-2</v>
      </c>
      <c r="H34" s="31">
        <f t="shared" si="36"/>
        <v>4.3206075000000004E-3</v>
      </c>
      <c r="I34" s="31">
        <f ca="1">IF(Reset,1,D34/100*(C34^2+F34^2/12)*O34/1000)</f>
        <v>0.69487080674173818</v>
      </c>
      <c r="J34" s="31">
        <f ca="1">IF(Reset,1,(1-D34/100)*(C34^2+F34^2/12)*O34/1000)</f>
        <v>3.0464064596193146E-2</v>
      </c>
      <c r="K34" s="31">
        <f t="shared" si="5"/>
        <v>4.7999999999999996E-3</v>
      </c>
      <c r="L34" s="31">
        <f t="shared" si="6"/>
        <v>1.7959691078266379E-3</v>
      </c>
      <c r="M34" s="31">
        <f t="shared" ca="1" si="37"/>
        <v>0.76650991705358462</v>
      </c>
      <c r="N34" s="28">
        <f ca="1">IF(Reset=1,150,M34*Rth_typ+$A34)</f>
        <v>51.061337179821876</v>
      </c>
      <c r="O34" s="30">
        <f t="shared" ca="1" si="7"/>
        <v>725.09441846314496</v>
      </c>
      <c r="P34" s="30">
        <f t="shared" ca="1" si="8"/>
        <v>302.12267435964372</v>
      </c>
      <c r="Q34" s="29">
        <f t="shared" ca="1" si="9"/>
        <v>4.8876145913617366</v>
      </c>
      <c r="R34" s="100">
        <f t="shared" ca="1" si="10"/>
        <v>4.8876145913617366</v>
      </c>
      <c r="S34" s="111">
        <f t="shared" si="11"/>
        <v>0.66666666666666663</v>
      </c>
      <c r="T34" s="102">
        <f t="shared" ca="1" si="12"/>
        <v>95.8</v>
      </c>
      <c r="U34" s="157">
        <f t="shared" ca="1" si="13"/>
        <v>85</v>
      </c>
      <c r="V34" s="103">
        <f t="shared" ca="1" si="14"/>
        <v>6.4631112604192548E-2</v>
      </c>
      <c r="W34" s="112">
        <f t="shared" si="15"/>
        <v>3.0258469107826643E-2</v>
      </c>
      <c r="X34" s="112">
        <f t="shared" si="16"/>
        <v>2.8804050000000004E-3</v>
      </c>
      <c r="Y34" s="112">
        <f ca="1">IF(Reset,1,T34/100*(S34^2+V34^2/12)*AE34/1000)</f>
        <v>0.27853780118507354</v>
      </c>
      <c r="Z34" s="112">
        <f ca="1">IF(Reset,1,(1-T34/100)*(S34^2+V34^2/12)*AE34/1000)</f>
        <v>1.2211469363019936E-2</v>
      </c>
      <c r="AA34" s="112">
        <f t="shared" si="17"/>
        <v>3.1999999999999997E-3</v>
      </c>
      <c r="AB34" s="112">
        <f t="shared" si="18"/>
        <v>1.7959691078266379E-3</v>
      </c>
      <c r="AC34" s="112">
        <f t="shared" ca="1" si="38"/>
        <v>0.32888411376374671</v>
      </c>
      <c r="AD34" s="32">
        <f ca="1">IF(Reset=1,150,AC34*Rth_typ+$A34)</f>
        <v>36.182059867967389</v>
      </c>
      <c r="AE34" s="33">
        <f t="shared" ca="1" si="19"/>
        <v>653.67388736624343</v>
      </c>
      <c r="AF34" s="33">
        <f t="shared" ca="1" si="20"/>
        <v>272.36411973593476</v>
      </c>
      <c r="AG34" s="160">
        <f t="shared" ca="1" si="21"/>
        <v>5.1871585804390765</v>
      </c>
      <c r="AH34" s="105">
        <f t="shared" ca="1" si="22"/>
        <v>5.0744525547445258</v>
      </c>
      <c r="AI34" s="113">
        <f t="shared" si="23"/>
        <v>0.33333333333333331</v>
      </c>
      <c r="AJ34" s="107">
        <f t="shared" ca="1" si="24"/>
        <v>94.261164715542577</v>
      </c>
      <c r="AK34" s="167">
        <f t="shared" ca="1" si="25"/>
        <v>123</v>
      </c>
      <c r="AL34" s="170">
        <f t="shared" ca="1" si="26"/>
        <v>6.4935109843925462E-2</v>
      </c>
      <c r="AM34" s="171">
        <f t="shared" si="27"/>
        <v>3.0258469107826643E-2</v>
      </c>
      <c r="AN34" s="171">
        <f t="shared" si="28"/>
        <v>1.4402025000000002E-3</v>
      </c>
      <c r="AO34" s="171">
        <f ca="1">IF(Reset,1,AJ34/100*(AI34^2+AL34^2/12)*AU34/1000)</f>
        <v>6.4820391595516558E-2</v>
      </c>
      <c r="AP34" s="171">
        <f ca="1">IF(Reset,1,(1-AJ34/100)*(AI34^2+AL34^2/12)*AU34/1000)</f>
        <v>3.9464136854587403E-3</v>
      </c>
      <c r="AQ34" s="171">
        <f t="shared" si="29"/>
        <v>1.5999999999999999E-3</v>
      </c>
      <c r="AR34" s="171">
        <f t="shared" si="30"/>
        <v>1.7959691078266379E-3</v>
      </c>
      <c r="AS34" s="171">
        <f t="shared" ca="1" si="39"/>
        <v>0.10386144599662858</v>
      </c>
      <c r="AT34" s="34">
        <f ca="1">IF(Reset=1,150,AS34*Rth_typ+$A34)</f>
        <v>28.531289163885372</v>
      </c>
      <c r="AU34" s="172">
        <f t="shared" ca="1" si="31"/>
        <v>616.95018798664978</v>
      </c>
      <c r="AV34" s="172">
        <f t="shared" ca="1" si="32"/>
        <v>257.06257832777072</v>
      </c>
      <c r="AW34" s="173">
        <f t="shared" ca="1" si="33"/>
        <v>5.2857169969139184</v>
      </c>
      <c r="AX34" s="108">
        <f t="shared" ca="1" si="34"/>
        <v>5.0744525547445258</v>
      </c>
    </row>
    <row r="35" spans="1:50" s="58" customFormat="1" ht="12.75" customHeight="1" x14ac:dyDescent="0.2">
      <c r="A35" s="27">
        <v>25</v>
      </c>
      <c r="B35" s="109">
        <f t="shared" si="0"/>
        <v>5.4750000000000005</v>
      </c>
      <c r="C35" s="110">
        <f t="shared" si="1"/>
        <v>1</v>
      </c>
      <c r="D35" s="87">
        <f t="shared" ca="1" si="2"/>
        <v>95.8</v>
      </c>
      <c r="E35" s="155">
        <f t="shared" ca="1" si="3"/>
        <v>85</v>
      </c>
      <c r="F35" s="100">
        <f t="shared" ca="1" si="4"/>
        <v>3.9405608084252204E-2</v>
      </c>
      <c r="G35" s="31">
        <f t="shared" si="35"/>
        <v>2.9102348417277272E-2</v>
      </c>
      <c r="H35" s="31">
        <f t="shared" si="36"/>
        <v>3.9967500000000012E-3</v>
      </c>
      <c r="I35" s="31">
        <f ca="1">IF(Reset,1,D35/100*(C35^2+F35^2/12)*O35/1000)</f>
        <v>0.69441355904335866</v>
      </c>
      <c r="J35" s="31">
        <f ca="1">IF(Reset,1,(1-D35/100)*(C35^2+F35^2/12)*O35/1000)</f>
        <v>3.0444018246159804E-2</v>
      </c>
      <c r="K35" s="31">
        <f t="shared" si="5"/>
        <v>4.7999999999999996E-3</v>
      </c>
      <c r="L35" s="31">
        <f t="shared" si="6"/>
        <v>1.7273484172772671E-3</v>
      </c>
      <c r="M35" s="31">
        <f t="shared" ca="1" si="37"/>
        <v>0.76448402412407312</v>
      </c>
      <c r="N35" s="28">
        <f ca="1">IF(Reset=1,150,M35*Rth_typ+$A35)</f>
        <v>50.992456820218486</v>
      </c>
      <c r="O35" s="30">
        <f t="shared" ca="1" si="7"/>
        <v>724.76379273704879</v>
      </c>
      <c r="P35" s="30">
        <f t="shared" ca="1" si="8"/>
        <v>301.98491364043696</v>
      </c>
      <c r="Q35" s="29">
        <f t="shared" ca="1" si="9"/>
        <v>4.6722923277352733</v>
      </c>
      <c r="R35" s="100">
        <f t="shared" ca="1" si="10"/>
        <v>4.6722923277352733</v>
      </c>
      <c r="S35" s="111">
        <f t="shared" si="11"/>
        <v>0.66666666666666663</v>
      </c>
      <c r="T35" s="102">
        <f t="shared" ca="1" si="12"/>
        <v>95.8</v>
      </c>
      <c r="U35" s="157">
        <f t="shared" ca="1" si="13"/>
        <v>85</v>
      </c>
      <c r="V35" s="103">
        <f t="shared" ca="1" si="14"/>
        <v>4.0953848763577369E-2</v>
      </c>
      <c r="W35" s="112">
        <f t="shared" si="15"/>
        <v>2.9102348417277272E-2</v>
      </c>
      <c r="X35" s="112">
        <f t="shared" si="16"/>
        <v>2.6645000000000011E-3</v>
      </c>
      <c r="Y35" s="112">
        <f ca="1">IF(Reset,1,T35/100*(S35^2+V35^2/12)*AE35/1000)</f>
        <v>0.27828916288691707</v>
      </c>
      <c r="Z35" s="112">
        <f ca="1">IF(Reset,1,(1-T35/100)*(S35^2+V35^2/12)*AE35/1000)</f>
        <v>1.2200568727818923E-2</v>
      </c>
      <c r="AA35" s="112">
        <f t="shared" si="17"/>
        <v>3.1999999999999997E-3</v>
      </c>
      <c r="AB35" s="112">
        <f t="shared" si="18"/>
        <v>1.7273484172772671E-3</v>
      </c>
      <c r="AC35" s="112">
        <f t="shared" ca="1" si="38"/>
        <v>0.32718392844929056</v>
      </c>
      <c r="AD35" s="32">
        <f ca="1">IF(Reset=1,150,AC35*Rth_typ+$A35)</f>
        <v>36.124253567275879</v>
      </c>
      <c r="AE35" s="33">
        <f t="shared" ca="1" si="19"/>
        <v>653.39641712292428</v>
      </c>
      <c r="AF35" s="33">
        <f t="shared" ca="1" si="20"/>
        <v>272.24850713455174</v>
      </c>
      <c r="AG35" s="160">
        <f t="shared" ca="1" si="21"/>
        <v>4.971691393407986</v>
      </c>
      <c r="AH35" s="105">
        <f t="shared" ca="1" si="22"/>
        <v>4.971691393407986</v>
      </c>
      <c r="AI35" s="113">
        <f t="shared" si="23"/>
        <v>0.33333333333333331</v>
      </c>
      <c r="AJ35" s="107">
        <f t="shared" ca="1" si="24"/>
        <v>95.8</v>
      </c>
      <c r="AK35" s="167">
        <f t="shared" ca="1" si="25"/>
        <v>85</v>
      </c>
      <c r="AL35" s="170">
        <f t="shared" ca="1" si="26"/>
        <v>4.2317601507856871E-2</v>
      </c>
      <c r="AM35" s="171">
        <f t="shared" si="27"/>
        <v>2.9102348417277272E-2</v>
      </c>
      <c r="AN35" s="171">
        <f t="shared" si="28"/>
        <v>1.3322500000000005E-3</v>
      </c>
      <c r="AO35" s="171">
        <f ca="1">IF(Reset,1,AJ35/100*(AI35^2+AL35^2/12)*AU35/1000)</f>
        <v>6.5733301027740026E-2</v>
      </c>
      <c r="AP35" s="171">
        <f ca="1">IF(Reset,1,(1-AJ35/100)*(AI35^2+AL35^2/12)*AU35/1000)</f>
        <v>2.8818357444311939E-3</v>
      </c>
      <c r="AQ35" s="171">
        <f t="shared" si="29"/>
        <v>1.5999999999999999E-3</v>
      </c>
      <c r="AR35" s="171">
        <f t="shared" si="30"/>
        <v>1.7273484172772671E-3</v>
      </c>
      <c r="AS35" s="171">
        <f t="shared" ca="1" si="39"/>
        <v>0.10237708360672577</v>
      </c>
      <c r="AT35" s="34">
        <f ca="1">IF(Reset=1,150,AS35*Rth_typ+$A35)</f>
        <v>28.480820842628678</v>
      </c>
      <c r="AU35" s="172">
        <f t="shared" ca="1" si="31"/>
        <v>616.70794004461766</v>
      </c>
      <c r="AV35" s="172">
        <f t="shared" ca="1" si="32"/>
        <v>256.96164168525735</v>
      </c>
      <c r="AW35" s="173">
        <f t="shared" ca="1" si="33"/>
        <v>5.2122458011638129</v>
      </c>
      <c r="AX35" s="108">
        <f t="shared" ca="1" si="34"/>
        <v>5.0744525547445258</v>
      </c>
    </row>
    <row r="36" spans="1:50" s="58" customFormat="1" ht="12.75" customHeight="1" x14ac:dyDescent="0.2">
      <c r="A36" s="27">
        <v>25</v>
      </c>
      <c r="B36" s="109">
        <f t="shared" si="0"/>
        <v>5.2575000000000003</v>
      </c>
      <c r="C36" s="110">
        <f t="shared" si="1"/>
        <v>1</v>
      </c>
      <c r="D36" s="87">
        <f t="shared" ca="1" si="2"/>
        <v>95.8</v>
      </c>
      <c r="E36" s="155">
        <f t="shared" ca="1" si="3"/>
        <v>85</v>
      </c>
      <c r="F36" s="100">
        <f t="shared" ca="1" si="4"/>
        <v>1.5728749665572167E-2</v>
      </c>
      <c r="G36" s="31">
        <f t="shared" si="35"/>
        <v>2.7946227726727897E-2</v>
      </c>
      <c r="H36" s="31">
        <f t="shared" si="36"/>
        <v>3.6855075000000004E-3</v>
      </c>
      <c r="I36" s="31">
        <f ca="1">IF(Reset,1,D36/100*(C36^2+F36^2/12)*O36/1000)</f>
        <v>0.69403631014926626</v>
      </c>
      <c r="J36" s="31">
        <f ca="1">IF(Reset,1,(1-D36/100)*(C36^2+F36^2/12)*O36/1000)</f>
        <v>3.0427479150594166E-2</v>
      </c>
      <c r="K36" s="31">
        <f t="shared" si="5"/>
        <v>4.7999999999999996E-3</v>
      </c>
      <c r="L36" s="31">
        <f t="shared" si="6"/>
        <v>1.6587277267278962E-3</v>
      </c>
      <c r="M36" s="31">
        <f t="shared" ca="1" si="37"/>
        <v>0.7625542522533163</v>
      </c>
      <c r="N36" s="28">
        <f ca="1">IF(Reset=1,150,M36*Rth_typ+$A36)</f>
        <v>50.926844576612751</v>
      </c>
      <c r="O36" s="30">
        <f t="shared" ca="1" si="7"/>
        <v>724.44885396774123</v>
      </c>
      <c r="P36" s="30">
        <f t="shared" ca="1" si="8"/>
        <v>301.8536891532255</v>
      </c>
      <c r="Q36" s="29">
        <f t="shared" ca="1" si="9"/>
        <v>4.4569544549331823</v>
      </c>
      <c r="R36" s="100">
        <f t="shared" ca="1" si="10"/>
        <v>4.4569544549331823</v>
      </c>
      <c r="S36" s="111">
        <f t="shared" si="11"/>
        <v>0.66666666666666663</v>
      </c>
      <c r="T36" s="102">
        <f t="shared" ca="1" si="12"/>
        <v>95.8</v>
      </c>
      <c r="U36" s="157">
        <f t="shared" ca="1" si="13"/>
        <v>85</v>
      </c>
      <c r="V36" s="103">
        <f t="shared" ca="1" si="14"/>
        <v>1.72765594703677E-2</v>
      </c>
      <c r="W36" s="112">
        <f t="shared" si="15"/>
        <v>2.7946227726727897E-2</v>
      </c>
      <c r="X36" s="112">
        <f t="shared" si="16"/>
        <v>2.457005E-3</v>
      </c>
      <c r="Y36" s="112">
        <f ca="1">IF(Reset,1,T36/100*(S36^2+V36^2/12)*AE36/1000)</f>
        <v>0.2781043078343795</v>
      </c>
      <c r="Z36" s="112">
        <f ca="1">IF(Reset,1,(1-T36/100)*(S36^2+V36^2/12)*AE36/1000)</f>
        <v>1.2192464435327715E-2</v>
      </c>
      <c r="AA36" s="112">
        <f t="shared" si="17"/>
        <v>3.1999999999999997E-3</v>
      </c>
      <c r="AB36" s="112">
        <f t="shared" si="18"/>
        <v>1.6587277267278962E-3</v>
      </c>
      <c r="AC36" s="112">
        <f t="shared" ca="1" si="38"/>
        <v>0.32555873272316299</v>
      </c>
      <c r="AD36" s="32">
        <f ca="1">IF(Reset=1,150,AC36*Rth_typ+$A36)</f>
        <v>36.068996912587544</v>
      </c>
      <c r="AE36" s="33">
        <f t="shared" ca="1" si="19"/>
        <v>653.13118518042018</v>
      </c>
      <c r="AF36" s="33">
        <f t="shared" ca="1" si="20"/>
        <v>272.1379938251751</v>
      </c>
      <c r="AG36" s="160">
        <f t="shared" ca="1" si="21"/>
        <v>4.7562160879640665</v>
      </c>
      <c r="AH36" s="105">
        <f t="shared" ca="1" si="22"/>
        <v>4.7562160879640665</v>
      </c>
      <c r="AI36" s="113">
        <f t="shared" si="23"/>
        <v>0.33333333333333331</v>
      </c>
      <c r="AJ36" s="107">
        <f t="shared" ca="1" si="24"/>
        <v>95.8</v>
      </c>
      <c r="AK36" s="167">
        <f t="shared" ca="1" si="25"/>
        <v>85</v>
      </c>
      <c r="AL36" s="170">
        <f t="shared" ca="1" si="26"/>
        <v>1.8640003038954862E-2</v>
      </c>
      <c r="AM36" s="171">
        <f t="shared" si="27"/>
        <v>2.7946227726727897E-2</v>
      </c>
      <c r="AN36" s="171">
        <f t="shared" si="28"/>
        <v>1.2285025E-3</v>
      </c>
      <c r="AO36" s="171">
        <f ca="1">IF(Reset,1,AJ36/100*(AI36^2+AL36^2/12)*AU36/1000)</f>
        <v>6.563741703178938E-2</v>
      </c>
      <c r="AP36" s="171">
        <f ca="1">IF(Reset,1,(1-AJ36/100)*(AI36^2+AL36^2/12)*AU36/1000)</f>
        <v>2.8776320619364896E-3</v>
      </c>
      <c r="AQ36" s="171">
        <f t="shared" si="29"/>
        <v>1.5999999999999999E-3</v>
      </c>
      <c r="AR36" s="171">
        <f t="shared" si="30"/>
        <v>1.6587277267278962E-3</v>
      </c>
      <c r="AS36" s="171">
        <f t="shared" ca="1" si="39"/>
        <v>0.10094850704718167</v>
      </c>
      <c r="AT36" s="34">
        <f ca="1">IF(Reset=1,150,AS36*Rth_typ+$A36)</f>
        <v>28.432249239604175</v>
      </c>
      <c r="AU36" s="172">
        <f t="shared" ca="1" si="31"/>
        <v>616.47479635010006</v>
      </c>
      <c r="AV36" s="172">
        <f t="shared" ca="1" si="32"/>
        <v>256.86449847920835</v>
      </c>
      <c r="AW36" s="173">
        <f t="shared" ca="1" si="33"/>
        <v>4.9966718803939347</v>
      </c>
      <c r="AX36" s="108">
        <f t="shared" ca="1" si="34"/>
        <v>4.9966718803939347</v>
      </c>
    </row>
    <row r="37" spans="1:50" s="58" customFormat="1" ht="12.75" customHeight="1" x14ac:dyDescent="0.2">
      <c r="A37" s="27">
        <v>25</v>
      </c>
      <c r="B37" s="109">
        <f t="shared" si="0"/>
        <v>5.04</v>
      </c>
      <c r="C37" s="110">
        <f t="shared" si="1"/>
        <v>1</v>
      </c>
      <c r="D37" s="87">
        <f t="shared" ca="1" si="2"/>
        <v>95.8</v>
      </c>
      <c r="E37" s="155">
        <f t="shared" ca="1" si="3"/>
        <v>85</v>
      </c>
      <c r="F37" s="100">
        <f t="shared" ca="1" si="4"/>
        <v>0</v>
      </c>
      <c r="G37" s="31">
        <f t="shared" si="35"/>
        <v>2.6790107036178526E-2</v>
      </c>
      <c r="H37" s="31">
        <f t="shared" si="36"/>
        <v>3.3868800000000005E-3</v>
      </c>
      <c r="I37" s="31">
        <f ca="1">IF(Reset,1,D37/100*(C37^2+F37^2/12)*O37/1000)</f>
        <v>0.69373458922442521</v>
      </c>
      <c r="J37" s="31">
        <f ca="1">IF(Reset,1,(1-D37/100)*(C37^2+F37^2/12)*O37/1000)</f>
        <v>3.0414251302114708E-2</v>
      </c>
      <c r="K37" s="31">
        <f t="shared" si="5"/>
        <v>4.7999999999999996E-3</v>
      </c>
      <c r="L37" s="31">
        <f t="shared" si="6"/>
        <v>1.5901070361785249E-3</v>
      </c>
      <c r="M37" s="31">
        <f t="shared" ca="1" si="37"/>
        <v>0.76071593459889708</v>
      </c>
      <c r="N37" s="28">
        <f ca="1">IF(Reset=1,150,M37*Rth_typ+$A37)</f>
        <v>50.864341776362501</v>
      </c>
      <c r="O37" s="30">
        <f t="shared" ca="1" si="7"/>
        <v>724.14884052653997</v>
      </c>
      <c r="P37" s="30">
        <f t="shared" ca="1" si="8"/>
        <v>301.72868355272499</v>
      </c>
      <c r="Q37" s="29">
        <f t="shared" ca="1" si="9"/>
        <v>4.2416017308077372</v>
      </c>
      <c r="R37" s="100">
        <f t="shared" ca="1" si="10"/>
        <v>4.2416017308077372</v>
      </c>
      <c r="S37" s="111">
        <f t="shared" si="11"/>
        <v>0.66666666666666663</v>
      </c>
      <c r="T37" s="102">
        <f t="shared" ca="1" si="12"/>
        <v>95.8</v>
      </c>
      <c r="U37" s="157">
        <f t="shared" ca="1" si="13"/>
        <v>85</v>
      </c>
      <c r="V37" s="103">
        <f t="shared" ca="1" si="14"/>
        <v>0</v>
      </c>
      <c r="W37" s="112">
        <f t="shared" si="15"/>
        <v>2.6790107036178526E-2</v>
      </c>
      <c r="X37" s="112">
        <f t="shared" si="16"/>
        <v>2.2579200000000001E-3</v>
      </c>
      <c r="Y37" s="112">
        <f ca="1">IF(Reset,1,T37/100*(S37^2+V37^2/12)*AE37/1000)</f>
        <v>0.27798085268086209</v>
      </c>
      <c r="Z37" s="112">
        <f ca="1">IF(Reset,1,(1-T37/100)*(S37^2+V37^2/12)*AE37/1000)</f>
        <v>1.2187051996446993E-2</v>
      </c>
      <c r="AA37" s="112">
        <f t="shared" si="17"/>
        <v>3.1999999999999997E-3</v>
      </c>
      <c r="AB37" s="112">
        <f t="shared" si="18"/>
        <v>1.5901070361785249E-3</v>
      </c>
      <c r="AC37" s="112">
        <f t="shared" ca="1" si="38"/>
        <v>0.3240060387496661</v>
      </c>
      <c r="AD37" s="32">
        <f ca="1">IF(Reset=1,150,AC37*Rth_typ+$A37)</f>
        <v>36.016205317488648</v>
      </c>
      <c r="AE37" s="33">
        <f t="shared" ca="1" si="19"/>
        <v>652.87778552394548</v>
      </c>
      <c r="AF37" s="33">
        <f t="shared" ca="1" si="20"/>
        <v>272.03241063497728</v>
      </c>
      <c r="AG37" s="160">
        <f t="shared" ca="1" si="21"/>
        <v>4.540732933441741</v>
      </c>
      <c r="AH37" s="105">
        <f t="shared" ca="1" si="22"/>
        <v>4.540732933441741</v>
      </c>
      <c r="AI37" s="113">
        <f t="shared" si="23"/>
        <v>0.33333333333333331</v>
      </c>
      <c r="AJ37" s="107">
        <f t="shared" ca="1" si="24"/>
        <v>95.8</v>
      </c>
      <c r="AK37" s="167">
        <f t="shared" ca="1" si="25"/>
        <v>85</v>
      </c>
      <c r="AL37" s="170">
        <f t="shared" ca="1" si="26"/>
        <v>0</v>
      </c>
      <c r="AM37" s="171">
        <f t="shared" si="27"/>
        <v>2.6790107036178526E-2</v>
      </c>
      <c r="AN37" s="171">
        <f t="shared" si="28"/>
        <v>1.12896E-3</v>
      </c>
      <c r="AO37" s="171">
        <f ca="1">IF(Reset,1,AJ37/100*(AI37^2+AL37^2/12)*AU37/1000)</f>
        <v>6.559657143828615E-2</v>
      </c>
      <c r="AP37" s="171">
        <f ca="1">IF(Reset,1,(1-AJ37/100)*(AI37^2+AL37^2/12)*AU37/1000)</f>
        <v>2.8758413365428189E-3</v>
      </c>
      <c r="AQ37" s="171">
        <f t="shared" si="29"/>
        <v>1.5999999999999999E-3</v>
      </c>
      <c r="AR37" s="171">
        <f t="shared" si="30"/>
        <v>1.5901070361785249E-3</v>
      </c>
      <c r="AS37" s="171">
        <f t="shared" ca="1" si="39"/>
        <v>9.9581586847186029E-2</v>
      </c>
      <c r="AT37" s="34">
        <f ca="1">IF(Reset=1,150,AS37*Rth_typ+$A37)</f>
        <v>28.385773952804325</v>
      </c>
      <c r="AU37" s="172">
        <f t="shared" ca="1" si="31"/>
        <v>616.25171497346071</v>
      </c>
      <c r="AV37" s="172">
        <f t="shared" ca="1" si="32"/>
        <v>256.77154790560866</v>
      </c>
      <c r="AW37" s="173">
        <f t="shared" ca="1" si="33"/>
        <v>4.7810946221488724</v>
      </c>
      <c r="AX37" s="108">
        <f t="shared" ca="1" si="34"/>
        <v>4.7810946221488724</v>
      </c>
    </row>
    <row r="38" spans="1:50" s="58" customFormat="1" ht="12.75" customHeight="1" x14ac:dyDescent="0.2">
      <c r="A38" s="27">
        <v>25</v>
      </c>
      <c r="B38" s="109">
        <f t="shared" si="0"/>
        <v>4.8224999999999998</v>
      </c>
      <c r="C38" s="110">
        <f t="shared" si="1"/>
        <v>1</v>
      </c>
      <c r="D38" s="87">
        <f t="shared" ca="1" si="2"/>
        <v>95.8</v>
      </c>
      <c r="E38" s="155">
        <f t="shared" ca="1" si="3"/>
        <v>85</v>
      </c>
      <c r="F38" s="100">
        <f t="shared" ca="1" si="4"/>
        <v>0</v>
      </c>
      <c r="G38" s="31">
        <f t="shared" si="35"/>
        <v>2.5633986345629151E-2</v>
      </c>
      <c r="H38" s="31">
        <f t="shared" si="36"/>
        <v>3.1008674999999995E-3</v>
      </c>
      <c r="I38" s="31">
        <f ca="1">IF(Reset,1,D38/100*(C38^2+F38^2/12)*O38/1000)</f>
        <v>0.69345232378227339</v>
      </c>
      <c r="J38" s="31">
        <f ca="1">IF(Reset,1,(1-D38/100)*(C38^2+F38^2/12)*O38/1000)</f>
        <v>3.0401876407991139E-2</v>
      </c>
      <c r="K38" s="31">
        <f t="shared" si="5"/>
        <v>4.7999999999999996E-3</v>
      </c>
      <c r="L38" s="31">
        <f t="shared" si="6"/>
        <v>1.521486345629154E-3</v>
      </c>
      <c r="M38" s="31">
        <f t="shared" ca="1" si="37"/>
        <v>0.75891054038152295</v>
      </c>
      <c r="N38" s="28">
        <f ca="1">IF(Reset=1,150,M38*Rth_typ+$A38)</f>
        <v>50.80295837297178</v>
      </c>
      <c r="O38" s="30">
        <f t="shared" ca="1" si="7"/>
        <v>723.85420019026458</v>
      </c>
      <c r="P38" s="30">
        <f t="shared" ca="1" si="8"/>
        <v>301.60591674594355</v>
      </c>
      <c r="Q38" s="29">
        <f t="shared" ca="1" si="9"/>
        <v>4.0262436602190119</v>
      </c>
      <c r="R38" s="100">
        <f t="shared" ca="1" si="10"/>
        <v>4.0262436602190119</v>
      </c>
      <c r="S38" s="111">
        <f t="shared" si="11"/>
        <v>0.66666666666666663</v>
      </c>
      <c r="T38" s="102">
        <f t="shared" ca="1" si="12"/>
        <v>95.8</v>
      </c>
      <c r="U38" s="157">
        <f t="shared" ca="1" si="13"/>
        <v>85</v>
      </c>
      <c r="V38" s="103">
        <f t="shared" ca="1" si="14"/>
        <v>0</v>
      </c>
      <c r="W38" s="112">
        <f t="shared" si="15"/>
        <v>2.5633986345629151E-2</v>
      </c>
      <c r="X38" s="112">
        <f t="shared" si="16"/>
        <v>2.0672449999999997E-3</v>
      </c>
      <c r="Y38" s="112">
        <f ca="1">IF(Reset,1,T38/100*(S38^2+V38^2/12)*AE38/1000)</f>
        <v>0.27787480796006819</v>
      </c>
      <c r="Z38" s="112">
        <f ca="1">IF(Reset,1,(1-T38/100)*(S38^2+V38^2/12)*AE38/1000)</f>
        <v>1.2182402854199244E-2</v>
      </c>
      <c r="AA38" s="112">
        <f t="shared" si="17"/>
        <v>3.1999999999999997E-3</v>
      </c>
      <c r="AB38" s="112">
        <f t="shared" si="18"/>
        <v>1.521486345629154E-3</v>
      </c>
      <c r="AC38" s="112">
        <f t="shared" ca="1" si="38"/>
        <v>0.3224799285055257</v>
      </c>
      <c r="AD38" s="32">
        <f ca="1">IF(Reset=1,150,AC38*Rth_typ+$A38)</f>
        <v>35.96431756918787</v>
      </c>
      <c r="AE38" s="33">
        <f t="shared" ca="1" si="19"/>
        <v>652.6287243321018</v>
      </c>
      <c r="AF38" s="33">
        <f t="shared" ca="1" si="20"/>
        <v>271.92863513837574</v>
      </c>
      <c r="AG38" s="160">
        <f t="shared" ca="1" si="21"/>
        <v>4.3252469009506962</v>
      </c>
      <c r="AH38" s="105">
        <f t="shared" ca="1" si="22"/>
        <v>4.3252469009506962</v>
      </c>
      <c r="AI38" s="113">
        <f t="shared" si="23"/>
        <v>0.33333333333333331</v>
      </c>
      <c r="AJ38" s="107">
        <f t="shared" ca="1" si="24"/>
        <v>95.8</v>
      </c>
      <c r="AK38" s="167">
        <f t="shared" ca="1" si="25"/>
        <v>85</v>
      </c>
      <c r="AL38" s="170">
        <f t="shared" ca="1" si="26"/>
        <v>0</v>
      </c>
      <c r="AM38" s="171">
        <f t="shared" si="27"/>
        <v>2.5633986345629151E-2</v>
      </c>
      <c r="AN38" s="171">
        <f t="shared" si="28"/>
        <v>1.0336224999999998E-3</v>
      </c>
      <c r="AO38" s="171">
        <f ca="1">IF(Reset,1,AJ38/100*(AI38^2+AL38^2/12)*AU38/1000)</f>
        <v>6.557321586560004E-2</v>
      </c>
      <c r="AP38" s="171">
        <f ca="1">IF(Reset,1,(1-AJ38/100)*(AI38^2+AL38^2/12)*AU38/1000)</f>
        <v>2.8748173970304836E-3</v>
      </c>
      <c r="AQ38" s="171">
        <f t="shared" si="29"/>
        <v>1.5999999999999999E-3</v>
      </c>
      <c r="AR38" s="171">
        <f t="shared" si="30"/>
        <v>1.521486345629154E-3</v>
      </c>
      <c r="AS38" s="171">
        <f t="shared" ca="1" si="39"/>
        <v>9.8237128453888822E-2</v>
      </c>
      <c r="AT38" s="34">
        <f ca="1">IF(Reset=1,150,AS38*Rth_typ+$A38)</f>
        <v>28.340062367432221</v>
      </c>
      <c r="AU38" s="172">
        <f t="shared" ca="1" si="31"/>
        <v>616.03229936367461</v>
      </c>
      <c r="AV38" s="172">
        <f t="shared" ca="1" si="32"/>
        <v>256.68012473486442</v>
      </c>
      <c r="AW38" s="173">
        <f t="shared" ca="1" si="33"/>
        <v>4.5655161480402233</v>
      </c>
      <c r="AX38" s="108">
        <f t="shared" ca="1" si="34"/>
        <v>4.5655161480402233</v>
      </c>
    </row>
    <row r="39" spans="1:50" s="58" customFormat="1" ht="12.75" customHeight="1" x14ac:dyDescent="0.2">
      <c r="A39" s="27">
        <v>25</v>
      </c>
      <c r="B39" s="109">
        <f t="shared" si="0"/>
        <v>4.6049999999999995</v>
      </c>
      <c r="C39" s="110">
        <f t="shared" si="1"/>
        <v>1</v>
      </c>
      <c r="D39" s="87">
        <f t="shared" ca="1" si="2"/>
        <v>95.8</v>
      </c>
      <c r="E39" s="155">
        <f t="shared" ca="1" si="3"/>
        <v>85</v>
      </c>
      <c r="F39" s="100">
        <f t="shared" ca="1" si="4"/>
        <v>0</v>
      </c>
      <c r="G39" s="31">
        <f t="shared" si="35"/>
        <v>2.447786565507978E-2</v>
      </c>
      <c r="H39" s="31">
        <f t="shared" si="36"/>
        <v>2.8274699999999995E-3</v>
      </c>
      <c r="I39" s="31">
        <f ca="1">IF(Reset,1,D39/100*(C39^2+F39^2/12)*O39/1000)</f>
        <v>0.69317241529488249</v>
      </c>
      <c r="J39" s="31">
        <f ca="1">IF(Reset,1,(1-D39/100)*(C39^2+F39^2/12)*O39/1000)</f>
        <v>3.0389604845913461E-2</v>
      </c>
      <c r="K39" s="31">
        <f t="shared" si="5"/>
        <v>4.7999999999999996E-3</v>
      </c>
      <c r="L39" s="31">
        <f t="shared" si="6"/>
        <v>1.4528656550797832E-3</v>
      </c>
      <c r="M39" s="31">
        <f t="shared" ca="1" si="37"/>
        <v>0.75712022145095548</v>
      </c>
      <c r="N39" s="28">
        <f ca="1">IF(Reset=1,150,M39*Rth_typ+$A39)</f>
        <v>50.742087529332487</v>
      </c>
      <c r="O39" s="30">
        <f t="shared" ca="1" si="7"/>
        <v>723.56202014079599</v>
      </c>
      <c r="P39" s="30">
        <f t="shared" ca="1" si="8"/>
        <v>301.48417505866496</v>
      </c>
      <c r="Q39" s="29">
        <f t="shared" ca="1" si="9"/>
        <v>3.8108831415424014</v>
      </c>
      <c r="R39" s="100">
        <f t="shared" ca="1" si="10"/>
        <v>3.8108831415424014</v>
      </c>
      <c r="S39" s="111">
        <f t="shared" si="11"/>
        <v>0.66666666666666663</v>
      </c>
      <c r="T39" s="102">
        <f t="shared" ca="1" si="12"/>
        <v>95.8</v>
      </c>
      <c r="U39" s="157">
        <f t="shared" ca="1" si="13"/>
        <v>85</v>
      </c>
      <c r="V39" s="103">
        <f t="shared" ca="1" si="14"/>
        <v>0</v>
      </c>
      <c r="W39" s="112">
        <f t="shared" si="15"/>
        <v>2.447786565507978E-2</v>
      </c>
      <c r="X39" s="112">
        <f t="shared" si="16"/>
        <v>1.8849799999999994E-3</v>
      </c>
      <c r="Y39" s="112">
        <f ca="1">IF(Reset,1,T39/100*(S39^2+V39^2/12)*AE39/1000)</f>
        <v>0.27776939332672684</v>
      </c>
      <c r="Z39" s="112">
        <f ca="1">IF(Reset,1,(1-T39/100)*(S39^2+V39^2/12)*AE39/1000)</f>
        <v>1.2177781335827285E-2</v>
      </c>
      <c r="AA39" s="112">
        <f t="shared" si="17"/>
        <v>3.1999999999999997E-3</v>
      </c>
      <c r="AB39" s="112">
        <f t="shared" si="18"/>
        <v>1.4528656550797832E-3</v>
      </c>
      <c r="AC39" s="112">
        <f t="shared" ca="1" si="38"/>
        <v>0.32096288597271372</v>
      </c>
      <c r="AD39" s="32">
        <f ca="1">IF(Reset=1,150,AC39*Rth_typ+$A39)</f>
        <v>35.912738123072266</v>
      </c>
      <c r="AE39" s="33">
        <f t="shared" ca="1" si="19"/>
        <v>652.38114299074687</v>
      </c>
      <c r="AF39" s="33">
        <f t="shared" ca="1" si="20"/>
        <v>271.82547624614455</v>
      </c>
      <c r="AG39" s="160">
        <f t="shared" ca="1" si="21"/>
        <v>4.1097598867843876</v>
      </c>
      <c r="AH39" s="105">
        <f t="shared" ca="1" si="22"/>
        <v>4.1097598867843876</v>
      </c>
      <c r="AI39" s="113">
        <f t="shared" si="23"/>
        <v>0.33333333333333331</v>
      </c>
      <c r="AJ39" s="107">
        <f t="shared" ca="1" si="24"/>
        <v>95.8</v>
      </c>
      <c r="AK39" s="167">
        <f t="shared" ca="1" si="25"/>
        <v>85</v>
      </c>
      <c r="AL39" s="170">
        <f t="shared" ca="1" si="26"/>
        <v>0</v>
      </c>
      <c r="AM39" s="171">
        <f t="shared" si="27"/>
        <v>2.447786565507978E-2</v>
      </c>
      <c r="AN39" s="171">
        <f t="shared" si="28"/>
        <v>9.4248999999999971E-4</v>
      </c>
      <c r="AO39" s="171">
        <f ca="1">IF(Reset,1,AJ39/100*(AI39^2+AL39^2/12)*AU39/1000)</f>
        <v>6.554993469012195E-2</v>
      </c>
      <c r="AP39" s="171">
        <f ca="1">IF(Reset,1,(1-AJ39/100)*(AI39^2+AL39^2/12)*AU39/1000)</f>
        <v>2.8737967191911525E-3</v>
      </c>
      <c r="AQ39" s="171">
        <f t="shared" si="29"/>
        <v>1.5999999999999999E-3</v>
      </c>
      <c r="AR39" s="171">
        <f t="shared" si="30"/>
        <v>1.4528656550797832E-3</v>
      </c>
      <c r="AS39" s="171">
        <f t="shared" ca="1" si="39"/>
        <v>9.689695271947267E-2</v>
      </c>
      <c r="AT39" s="34">
        <f ca="1">IF(Reset=1,150,AS39*Rth_typ+$A39)</f>
        <v>28.294496392462072</v>
      </c>
      <c r="AU39" s="172">
        <f t="shared" ca="1" si="31"/>
        <v>615.81358268381791</v>
      </c>
      <c r="AV39" s="172">
        <f t="shared" ca="1" si="32"/>
        <v>256.58899278492413</v>
      </c>
      <c r="AW39" s="173">
        <f t="shared" ca="1" si="33"/>
        <v>4.3499374421101074</v>
      </c>
      <c r="AX39" s="108">
        <f t="shared" ca="1" si="34"/>
        <v>4.3499374421101074</v>
      </c>
    </row>
    <row r="40" spans="1:50" s="58" customFormat="1" ht="12.75" customHeight="1" x14ac:dyDescent="0.2">
      <c r="A40" s="27">
        <v>25</v>
      </c>
      <c r="B40" s="109">
        <f t="shared" si="0"/>
        <v>4.3874999999999993</v>
      </c>
      <c r="C40" s="110">
        <f t="shared" si="1"/>
        <v>1</v>
      </c>
      <c r="D40" s="87">
        <f t="shared" ca="1" si="2"/>
        <v>95.8</v>
      </c>
      <c r="E40" s="155">
        <f t="shared" ca="1" si="3"/>
        <v>85</v>
      </c>
      <c r="F40" s="100">
        <f t="shared" ca="1" si="4"/>
        <v>0</v>
      </c>
      <c r="G40" s="31">
        <f t="shared" si="35"/>
        <v>2.3321744964530409E-2</v>
      </c>
      <c r="H40" s="31">
        <f t="shared" si="36"/>
        <v>2.5666874999999991E-3</v>
      </c>
      <c r="I40" s="31">
        <f ca="1">IF(Reset,1,D40/100*(C40^2+F40^2/12)*O40/1000)</f>
        <v>0.69289486376225251</v>
      </c>
      <c r="J40" s="31">
        <f ca="1">IF(Reset,1,(1-D40/100)*(C40^2+F40^2/12)*O40/1000)</f>
        <v>3.0377436615881662E-2</v>
      </c>
      <c r="K40" s="31">
        <f t="shared" si="5"/>
        <v>4.7999999999999996E-3</v>
      </c>
      <c r="L40" s="31">
        <f t="shared" si="6"/>
        <v>1.3842449645304123E-3</v>
      </c>
      <c r="M40" s="31">
        <f t="shared" ca="1" si="37"/>
        <v>0.75534497780719501</v>
      </c>
      <c r="N40" s="28">
        <f ca="1">IF(Reset=1,150,M40*Rth_typ+$A40)</f>
        <v>50.681729245444629</v>
      </c>
      <c r="O40" s="30">
        <f t="shared" ca="1" si="7"/>
        <v>723.27230037813422</v>
      </c>
      <c r="P40" s="30">
        <f t="shared" ca="1" si="8"/>
        <v>301.36345849088923</v>
      </c>
      <c r="Q40" s="29">
        <f t="shared" ca="1" si="9"/>
        <v>3.5955201747779069</v>
      </c>
      <c r="R40" s="100">
        <f t="shared" ca="1" si="10"/>
        <v>3.5955201747779069</v>
      </c>
      <c r="S40" s="111">
        <f t="shared" si="11"/>
        <v>0.66666666666666663</v>
      </c>
      <c r="T40" s="102">
        <f t="shared" ca="1" si="12"/>
        <v>95.8</v>
      </c>
      <c r="U40" s="157">
        <f t="shared" ca="1" si="13"/>
        <v>85</v>
      </c>
      <c r="V40" s="103">
        <f t="shared" ca="1" si="14"/>
        <v>0</v>
      </c>
      <c r="W40" s="112">
        <f t="shared" si="15"/>
        <v>2.3321744964530409E-2</v>
      </c>
      <c r="X40" s="112">
        <f t="shared" si="16"/>
        <v>1.7111249999999993E-3</v>
      </c>
      <c r="Y40" s="112">
        <f ca="1">IF(Reset,1,T40/100*(S40^2+V40^2/12)*AE40/1000)</f>
        <v>0.27766460878083815</v>
      </c>
      <c r="Z40" s="112">
        <f ca="1">IF(Reset,1,(1-T40/100)*(S40^2+V40^2/12)*AE40/1000)</f>
        <v>1.2173187441331118E-2</v>
      </c>
      <c r="AA40" s="112">
        <f t="shared" si="17"/>
        <v>3.1999999999999997E-3</v>
      </c>
      <c r="AB40" s="112">
        <f t="shared" si="18"/>
        <v>1.3842449645304123E-3</v>
      </c>
      <c r="AC40" s="112">
        <f t="shared" ca="1" si="38"/>
        <v>0.31945491115123009</v>
      </c>
      <c r="AD40" s="32">
        <f ca="1">IF(Reset=1,150,AC40*Rth_typ+$A40)</f>
        <v>35.861466979141824</v>
      </c>
      <c r="AE40" s="33">
        <f t="shared" ca="1" si="19"/>
        <v>652.1350414998808</v>
      </c>
      <c r="AF40" s="33">
        <f t="shared" ca="1" si="20"/>
        <v>271.72293395828365</v>
      </c>
      <c r="AG40" s="160">
        <f t="shared" ca="1" si="21"/>
        <v>3.8942718909428145</v>
      </c>
      <c r="AH40" s="105">
        <f t="shared" ca="1" si="22"/>
        <v>3.8942718909428145</v>
      </c>
      <c r="AI40" s="113">
        <f t="shared" si="23"/>
        <v>0.33333333333333331</v>
      </c>
      <c r="AJ40" s="107">
        <f t="shared" ca="1" si="24"/>
        <v>95.8</v>
      </c>
      <c r="AK40" s="167">
        <f t="shared" ca="1" si="25"/>
        <v>85</v>
      </c>
      <c r="AL40" s="170">
        <f t="shared" ca="1" si="26"/>
        <v>0</v>
      </c>
      <c r="AM40" s="171">
        <f t="shared" si="27"/>
        <v>2.3321744964530409E-2</v>
      </c>
      <c r="AN40" s="171">
        <f t="shared" si="28"/>
        <v>8.5556249999999966E-4</v>
      </c>
      <c r="AO40" s="171">
        <f ca="1">IF(Reset,1,AJ40/100*(AI40^2+AL40^2/12)*AU40/1000)</f>
        <v>6.5526727911851906E-2</v>
      </c>
      <c r="AP40" s="171">
        <f ca="1">IF(Reset,1,(1-AJ40/100)*(AI40^2+AL40^2/12)*AU40/1000)</f>
        <v>2.8727793030248251E-3</v>
      </c>
      <c r="AQ40" s="171">
        <f t="shared" si="29"/>
        <v>1.5999999999999999E-3</v>
      </c>
      <c r="AR40" s="171">
        <f t="shared" si="30"/>
        <v>1.3842449645304123E-3</v>
      </c>
      <c r="AS40" s="171">
        <f t="shared" ca="1" si="39"/>
        <v>9.5561059643937546E-2</v>
      </c>
      <c r="AT40" s="34">
        <f ca="1">IF(Reset=1,150,AS40*Rth_typ+$A40)</f>
        <v>28.249076027893878</v>
      </c>
      <c r="AU40" s="172">
        <f t="shared" ca="1" si="31"/>
        <v>615.59556493389061</v>
      </c>
      <c r="AV40" s="172">
        <f t="shared" ca="1" si="32"/>
        <v>256.49815205578773</v>
      </c>
      <c r="AW40" s="173">
        <f t="shared" ca="1" si="33"/>
        <v>4.1343585043585245</v>
      </c>
      <c r="AX40" s="108">
        <f t="shared" ca="1" si="34"/>
        <v>4.1343585043585245</v>
      </c>
    </row>
    <row r="41" spans="1:50" s="58" customFormat="1" ht="12.75" customHeight="1" x14ac:dyDescent="0.2">
      <c r="A41" s="27">
        <v>25</v>
      </c>
      <c r="B41" s="109">
        <f t="shared" si="0"/>
        <v>4.169999999999999</v>
      </c>
      <c r="C41" s="110">
        <f t="shared" si="1"/>
        <v>1</v>
      </c>
      <c r="D41" s="87">
        <f t="shared" ca="1" si="2"/>
        <v>95.8</v>
      </c>
      <c r="E41" s="155">
        <f t="shared" ca="1" si="3"/>
        <v>85</v>
      </c>
      <c r="F41" s="100">
        <f t="shared" ca="1" si="4"/>
        <v>0</v>
      </c>
      <c r="G41" s="31">
        <f t="shared" si="35"/>
        <v>2.2165624273981034E-2</v>
      </c>
      <c r="H41" s="31">
        <f t="shared" si="36"/>
        <v>2.3185199999999993E-3</v>
      </c>
      <c r="I41" s="31">
        <f ca="1">IF(Reset,1,D41/100*(C41^2+F41^2/12)*O41/1000)</f>
        <v>0.69261966918438378</v>
      </c>
      <c r="J41" s="31">
        <f ca="1">IF(Reset,1,(1-D41/100)*(C41^2+F41^2/12)*O41/1000)</f>
        <v>3.0365371717895766E-2</v>
      </c>
      <c r="K41" s="31">
        <f t="shared" si="5"/>
        <v>4.7999999999999996E-3</v>
      </c>
      <c r="L41" s="31">
        <f t="shared" si="6"/>
        <v>1.3156242739810415E-3</v>
      </c>
      <c r="M41" s="31">
        <f t="shared" ca="1" si="37"/>
        <v>0.75358480945024164</v>
      </c>
      <c r="N41" s="28">
        <f ca="1">IF(Reset=1,150,M41*Rth_typ+$A41)</f>
        <v>50.62188352130822</v>
      </c>
      <c r="O41" s="30">
        <f t="shared" ca="1" si="7"/>
        <v>722.98504090227948</v>
      </c>
      <c r="P41" s="30">
        <f t="shared" ca="1" si="8"/>
        <v>301.24376704261647</v>
      </c>
      <c r="Q41" s="29">
        <f t="shared" ca="1" si="9"/>
        <v>3.3801547599255271</v>
      </c>
      <c r="R41" s="100">
        <f t="shared" ca="1" si="10"/>
        <v>3.3801547599255271</v>
      </c>
      <c r="S41" s="111">
        <f t="shared" si="11"/>
        <v>0.66666666666666663</v>
      </c>
      <c r="T41" s="102">
        <f t="shared" ca="1" si="12"/>
        <v>95.8</v>
      </c>
      <c r="U41" s="157">
        <f t="shared" ca="1" si="13"/>
        <v>85</v>
      </c>
      <c r="V41" s="103">
        <f t="shared" ca="1" si="14"/>
        <v>0</v>
      </c>
      <c r="W41" s="112">
        <f t="shared" si="15"/>
        <v>2.2165624273981034E-2</v>
      </c>
      <c r="X41" s="112">
        <f t="shared" si="16"/>
        <v>1.5456799999999996E-3</v>
      </c>
      <c r="Y41" s="112">
        <f ca="1">IF(Reset,1,T41/100*(S41^2+V41^2/12)*AE41/1000)</f>
        <v>0.27756045432240189</v>
      </c>
      <c r="Z41" s="112">
        <f ca="1">IF(Reset,1,(1-T41/100)*(S41^2+V41^2/12)*AE41/1000)</f>
        <v>1.216862117071074E-2</v>
      </c>
      <c r="AA41" s="112">
        <f t="shared" si="17"/>
        <v>3.1999999999999997E-3</v>
      </c>
      <c r="AB41" s="112">
        <f t="shared" si="18"/>
        <v>1.3156242739810415E-3</v>
      </c>
      <c r="AC41" s="112">
        <f t="shared" ca="1" si="38"/>
        <v>0.31795600404107466</v>
      </c>
      <c r="AD41" s="32">
        <f ca="1">IF(Reset=1,150,AC41*Rth_typ+$A41)</f>
        <v>35.810504137396535</v>
      </c>
      <c r="AE41" s="33">
        <f t="shared" ca="1" si="19"/>
        <v>651.89041985950337</v>
      </c>
      <c r="AF41" s="33">
        <f t="shared" ca="1" si="20"/>
        <v>271.6210082747931</v>
      </c>
      <c r="AG41" s="160">
        <f t="shared" ca="1" si="21"/>
        <v>3.6787829134259766</v>
      </c>
      <c r="AH41" s="105">
        <f t="shared" ca="1" si="22"/>
        <v>3.6787829134259766</v>
      </c>
      <c r="AI41" s="113">
        <f t="shared" si="23"/>
        <v>0.33333333333333331</v>
      </c>
      <c r="AJ41" s="107">
        <f t="shared" ca="1" si="24"/>
        <v>95.8</v>
      </c>
      <c r="AK41" s="167">
        <f t="shared" ca="1" si="25"/>
        <v>85</v>
      </c>
      <c r="AL41" s="170">
        <f t="shared" ca="1" si="26"/>
        <v>0</v>
      </c>
      <c r="AM41" s="171">
        <f t="shared" si="27"/>
        <v>2.2165624273981034E-2</v>
      </c>
      <c r="AN41" s="171">
        <f t="shared" si="28"/>
        <v>7.7283999999999979E-4</v>
      </c>
      <c r="AO41" s="171">
        <f ca="1">IF(Reset,1,AJ41/100*(AI41^2+AL41^2/12)*AU41/1000)</f>
        <v>6.550359553078991E-2</v>
      </c>
      <c r="AP41" s="171">
        <f ca="1">IF(Reset,1,(1-AJ41/100)*(AI41^2+AL41^2/12)*AU41/1000)</f>
        <v>2.8717651485315018E-3</v>
      </c>
      <c r="AQ41" s="171">
        <f t="shared" si="29"/>
        <v>1.5999999999999999E-3</v>
      </c>
      <c r="AR41" s="171">
        <f t="shared" si="30"/>
        <v>1.3156242739810415E-3</v>
      </c>
      <c r="AS41" s="171">
        <f t="shared" ca="1" si="39"/>
        <v>9.4229449227283504E-2</v>
      </c>
      <c r="AT41" s="34">
        <f ca="1">IF(Reset=1,150,AS41*Rth_typ+$A41)</f>
        <v>28.203801273727638</v>
      </c>
      <c r="AU41" s="172">
        <f t="shared" ca="1" si="31"/>
        <v>615.37824611389271</v>
      </c>
      <c r="AV41" s="172">
        <f t="shared" ca="1" si="32"/>
        <v>256.40760254745527</v>
      </c>
      <c r="AW41" s="173">
        <f t="shared" ca="1" si="33"/>
        <v>3.9187793347854734</v>
      </c>
      <c r="AX41" s="108">
        <f t="shared" ca="1" si="34"/>
        <v>3.9187793347854734</v>
      </c>
    </row>
    <row r="42" spans="1:50" s="58" customFormat="1" ht="12.75" customHeight="1" x14ac:dyDescent="0.2">
      <c r="A42" s="27">
        <v>25</v>
      </c>
      <c r="B42" s="109">
        <f t="shared" si="0"/>
        <v>3.9524999999999992</v>
      </c>
      <c r="C42" s="110">
        <f t="shared" si="1"/>
        <v>1</v>
      </c>
      <c r="D42" s="87">
        <f t="shared" ca="1" si="2"/>
        <v>95.8</v>
      </c>
      <c r="E42" s="155">
        <f t="shared" ca="1" si="3"/>
        <v>85</v>
      </c>
      <c r="F42" s="100">
        <f t="shared" ca="1" si="4"/>
        <v>0</v>
      </c>
      <c r="G42" s="31">
        <f t="shared" si="35"/>
        <v>2.1009503583431666E-2</v>
      </c>
      <c r="H42" s="31">
        <f t="shared" si="36"/>
        <v>2.0829674999999991E-3</v>
      </c>
      <c r="I42" s="31">
        <f ca="1">IF(Reset,1,D42/100*(C42^2+F42^2/12)*O42/1000)</f>
        <v>0.69234683156127586</v>
      </c>
      <c r="J42" s="31">
        <f ca="1">IF(Reset,1,(1-D42/100)*(C42^2+F42^2/12)*O42/1000)</f>
        <v>3.0353410151955754E-2</v>
      </c>
      <c r="K42" s="31">
        <f t="shared" si="5"/>
        <v>4.7999999999999996E-3</v>
      </c>
      <c r="L42" s="31">
        <f t="shared" si="6"/>
        <v>1.2470035834316706E-3</v>
      </c>
      <c r="M42" s="31">
        <f t="shared" ca="1" si="37"/>
        <v>0.75183971638009506</v>
      </c>
      <c r="N42" s="28">
        <f ca="1">IF(Reset=1,150,M42*Rth_typ+$A42)</f>
        <v>50.562550356923232</v>
      </c>
      <c r="O42" s="30">
        <f t="shared" ca="1" si="7"/>
        <v>722.70024171323155</v>
      </c>
      <c r="P42" s="30">
        <f t="shared" ca="1" si="8"/>
        <v>301.12510071384645</v>
      </c>
      <c r="Q42" s="29">
        <f t="shared" ca="1" si="9"/>
        <v>3.1647868969852628</v>
      </c>
      <c r="R42" s="100">
        <f t="shared" ca="1" si="10"/>
        <v>3.1647868969852628</v>
      </c>
      <c r="S42" s="111">
        <f t="shared" si="11"/>
        <v>0.66666666666666663</v>
      </c>
      <c r="T42" s="102">
        <f t="shared" ca="1" si="12"/>
        <v>95.8</v>
      </c>
      <c r="U42" s="157">
        <f t="shared" ca="1" si="13"/>
        <v>85</v>
      </c>
      <c r="V42" s="103">
        <f t="shared" ca="1" si="14"/>
        <v>0</v>
      </c>
      <c r="W42" s="112">
        <f t="shared" si="15"/>
        <v>2.1009503583431666E-2</v>
      </c>
      <c r="X42" s="112">
        <f t="shared" si="16"/>
        <v>1.3886449999999993E-3</v>
      </c>
      <c r="Y42" s="112">
        <f ca="1">IF(Reset,1,T42/100*(S42^2+V42^2/12)*AE42/1000)</f>
        <v>0.27745692995141819</v>
      </c>
      <c r="Z42" s="112">
        <f ca="1">IF(Reset,1,(1-T42/100)*(S42^2+V42^2/12)*AE42/1000)</f>
        <v>1.2164082523966153E-2</v>
      </c>
      <c r="AA42" s="112">
        <f t="shared" si="17"/>
        <v>3.1999999999999997E-3</v>
      </c>
      <c r="AB42" s="112">
        <f t="shared" si="18"/>
        <v>1.2470035834316706E-3</v>
      </c>
      <c r="AC42" s="112">
        <f t="shared" ca="1" si="38"/>
        <v>0.31646616464224764</v>
      </c>
      <c r="AD42" s="32">
        <f ca="1">IF(Reset=1,150,AC42*Rth_typ+$A42)</f>
        <v>35.759849597836421</v>
      </c>
      <c r="AE42" s="33">
        <f t="shared" ca="1" si="19"/>
        <v>651.6472780696148</v>
      </c>
      <c r="AF42" s="33">
        <f t="shared" ca="1" si="20"/>
        <v>271.51969919567284</v>
      </c>
      <c r="AG42" s="160">
        <f t="shared" ca="1" si="21"/>
        <v>3.4632929542338751</v>
      </c>
      <c r="AH42" s="105">
        <f t="shared" ca="1" si="22"/>
        <v>3.4632929542338751</v>
      </c>
      <c r="AI42" s="113">
        <f t="shared" si="23"/>
        <v>0.33333333333333331</v>
      </c>
      <c r="AJ42" s="107">
        <f t="shared" ca="1" si="24"/>
        <v>95.8</v>
      </c>
      <c r="AK42" s="167">
        <f t="shared" ca="1" si="25"/>
        <v>85</v>
      </c>
      <c r="AL42" s="170">
        <f t="shared" ca="1" si="26"/>
        <v>0</v>
      </c>
      <c r="AM42" s="171">
        <f t="shared" si="27"/>
        <v>2.1009503583431666E-2</v>
      </c>
      <c r="AN42" s="171">
        <f t="shared" si="28"/>
        <v>6.9432249999999967E-4</v>
      </c>
      <c r="AO42" s="171">
        <f ca="1">IF(Reset,1,AJ42/100*(AI42^2+AL42^2/12)*AU42/1000)</f>
        <v>6.5480537546935932E-2</v>
      </c>
      <c r="AP42" s="171">
        <f ca="1">IF(Reset,1,(1-AJ42/100)*(AI42^2+AL42^2/12)*AU42/1000)</f>
        <v>2.8707542557111815E-3</v>
      </c>
      <c r="AQ42" s="171">
        <f t="shared" si="29"/>
        <v>1.5999999999999999E-3</v>
      </c>
      <c r="AR42" s="171">
        <f t="shared" si="30"/>
        <v>1.2470035834316706E-3</v>
      </c>
      <c r="AS42" s="171">
        <f t="shared" ca="1" si="39"/>
        <v>9.2902121469510462E-2</v>
      </c>
      <c r="AT42" s="34">
        <f ca="1">IF(Reset=1,150,AS42*Rth_typ+$A42)</f>
        <v>28.158672129963357</v>
      </c>
      <c r="AU42" s="172">
        <f t="shared" ca="1" si="31"/>
        <v>615.1616262238241</v>
      </c>
      <c r="AV42" s="172">
        <f t="shared" ca="1" si="32"/>
        <v>256.3173442599267</v>
      </c>
      <c r="AW42" s="173">
        <f t="shared" ca="1" si="33"/>
        <v>3.7031999333909558</v>
      </c>
      <c r="AX42" s="108">
        <f t="shared" ca="1" si="34"/>
        <v>3.7031999333909558</v>
      </c>
    </row>
    <row r="43" spans="1:50" s="58" customFormat="1" ht="12.75" customHeight="1" x14ac:dyDescent="0.2">
      <c r="A43" s="27">
        <v>25</v>
      </c>
      <c r="B43" s="109">
        <f t="shared" si="0"/>
        <v>3.7349999999999994</v>
      </c>
      <c r="C43" s="110">
        <f t="shared" si="1"/>
        <v>1</v>
      </c>
      <c r="D43" s="87">
        <f t="shared" ca="1" si="2"/>
        <v>95.8</v>
      </c>
      <c r="E43" s="155">
        <f t="shared" ca="1" si="3"/>
        <v>85</v>
      </c>
      <c r="F43" s="100">
        <f t="shared" ca="1" si="4"/>
        <v>0</v>
      </c>
      <c r="G43" s="31">
        <f t="shared" si="35"/>
        <v>1.9853382892882295E-2</v>
      </c>
      <c r="H43" s="31">
        <f t="shared" si="36"/>
        <v>1.8600299999999995E-3</v>
      </c>
      <c r="I43" s="31">
        <f ca="1">IF(Reset,1,D43/100*(C43^2+F43^2/12)*O43/1000)</f>
        <v>0.69207635089292874</v>
      </c>
      <c r="J43" s="31">
        <f ca="1">IF(Reset,1,(1-D43/100)*(C43^2+F43^2/12)*O43/1000)</f>
        <v>3.0341551918061625E-2</v>
      </c>
      <c r="K43" s="31">
        <f t="shared" si="5"/>
        <v>4.7999999999999996E-3</v>
      </c>
      <c r="L43" s="31">
        <f t="shared" si="6"/>
        <v>1.1783828928822997E-3</v>
      </c>
      <c r="M43" s="31">
        <f t="shared" ca="1" si="37"/>
        <v>0.75010969859675503</v>
      </c>
      <c r="N43" s="28">
        <f ca="1">IF(Reset=1,150,M43*Rth_typ+$A43)</f>
        <v>50.503729752289672</v>
      </c>
      <c r="O43" s="30">
        <f t="shared" ca="1" si="7"/>
        <v>722.41790281099043</v>
      </c>
      <c r="P43" s="30">
        <f t="shared" ca="1" si="8"/>
        <v>301.00745950457934</v>
      </c>
      <c r="Q43" s="29">
        <f t="shared" ca="1" si="9"/>
        <v>2.9494165859571138</v>
      </c>
      <c r="R43" s="100">
        <f t="shared" ca="1" si="10"/>
        <v>2.9494165859571138</v>
      </c>
      <c r="S43" s="111">
        <f t="shared" si="11"/>
        <v>0.66666666666666663</v>
      </c>
      <c r="T43" s="102">
        <f t="shared" ca="1" si="12"/>
        <v>95.8</v>
      </c>
      <c r="U43" s="157">
        <f t="shared" ca="1" si="13"/>
        <v>85</v>
      </c>
      <c r="V43" s="103">
        <f t="shared" ca="1" si="14"/>
        <v>0</v>
      </c>
      <c r="W43" s="112">
        <f t="shared" si="15"/>
        <v>1.9853382892882295E-2</v>
      </c>
      <c r="X43" s="112">
        <f t="shared" si="16"/>
        <v>1.2400199999999997E-3</v>
      </c>
      <c r="Y43" s="112">
        <f ca="1">IF(Reset,1,T43/100*(S43^2+V43^2/12)*AE43/1000)</f>
        <v>0.27735403566788708</v>
      </c>
      <c r="Z43" s="112">
        <f ca="1">IF(Reset,1,(1-T43/100)*(S43^2+V43^2/12)*AE43/1000)</f>
        <v>1.2159571501097359E-2</v>
      </c>
      <c r="AA43" s="112">
        <f t="shared" si="17"/>
        <v>3.1999999999999997E-3</v>
      </c>
      <c r="AB43" s="112">
        <f t="shared" si="18"/>
        <v>1.1783828928822997E-3</v>
      </c>
      <c r="AC43" s="112">
        <f t="shared" ca="1" si="38"/>
        <v>0.31498539295474903</v>
      </c>
      <c r="AD43" s="32">
        <f ca="1">IF(Reset=1,150,AC43*Rth_typ+$A43)</f>
        <v>35.709503360461468</v>
      </c>
      <c r="AE43" s="33">
        <f t="shared" ca="1" si="19"/>
        <v>651.40561613021509</v>
      </c>
      <c r="AF43" s="33">
        <f t="shared" ca="1" si="20"/>
        <v>271.41900672092294</v>
      </c>
      <c r="AG43" s="160">
        <f t="shared" ca="1" si="21"/>
        <v>3.2478020133665093</v>
      </c>
      <c r="AH43" s="105">
        <f t="shared" ca="1" si="22"/>
        <v>3.2478020133665093</v>
      </c>
      <c r="AI43" s="113">
        <f t="shared" si="23"/>
        <v>0.33333333333333331</v>
      </c>
      <c r="AJ43" s="107">
        <f t="shared" ca="1" si="24"/>
        <v>95.8</v>
      </c>
      <c r="AK43" s="167">
        <f t="shared" ca="1" si="25"/>
        <v>85</v>
      </c>
      <c r="AL43" s="170">
        <f t="shared" ca="1" si="26"/>
        <v>0</v>
      </c>
      <c r="AM43" s="171">
        <f t="shared" si="27"/>
        <v>1.9853382892882295E-2</v>
      </c>
      <c r="AN43" s="171">
        <f t="shared" si="28"/>
        <v>6.2000999999999983E-4</v>
      </c>
      <c r="AO43" s="171">
        <f ca="1">IF(Reset,1,AJ43/100*(AI43^2+AL43^2/12)*AU43/1000)</f>
        <v>6.5457553960290016E-2</v>
      </c>
      <c r="AP43" s="171">
        <f ca="1">IF(Reset,1,(1-AJ43/100)*(AI43^2+AL43^2/12)*AU43/1000)</f>
        <v>2.8697466245638653E-3</v>
      </c>
      <c r="AQ43" s="171">
        <f t="shared" si="29"/>
        <v>1.5999999999999999E-3</v>
      </c>
      <c r="AR43" s="171">
        <f t="shared" si="30"/>
        <v>1.1783828928822997E-3</v>
      </c>
      <c r="AS43" s="171">
        <f t="shared" ca="1" si="39"/>
        <v>9.157907637061849E-2</v>
      </c>
      <c r="AT43" s="34">
        <f ca="1">IF(Reset=1,150,AS43*Rth_typ+$A43)</f>
        <v>28.11368859660103</v>
      </c>
      <c r="AU43" s="172">
        <f t="shared" ca="1" si="31"/>
        <v>614.94570526368489</v>
      </c>
      <c r="AV43" s="172">
        <f t="shared" ca="1" si="32"/>
        <v>256.22737719320207</v>
      </c>
      <c r="AW43" s="173">
        <f t="shared" ca="1" si="33"/>
        <v>3.4876203001749708</v>
      </c>
      <c r="AX43" s="108">
        <f t="shared" ca="1" si="34"/>
        <v>3.4876203001749708</v>
      </c>
    </row>
    <row r="44" spans="1:50" s="58" customFormat="1" ht="12.75" customHeight="1" x14ac:dyDescent="0.2">
      <c r="A44" s="27">
        <v>25</v>
      </c>
      <c r="B44" s="109">
        <f t="shared" si="0"/>
        <v>3.5174999999999996</v>
      </c>
      <c r="C44" s="110">
        <f t="shared" si="1"/>
        <v>1</v>
      </c>
      <c r="D44" s="99">
        <f t="shared" ca="1" si="2"/>
        <v>95.8</v>
      </c>
      <c r="E44" s="155">
        <f t="shared" ca="1" si="3"/>
        <v>85</v>
      </c>
      <c r="F44" s="100">
        <f t="shared" ca="1" si="4"/>
        <v>0</v>
      </c>
      <c r="G44" s="31">
        <f t="shared" si="35"/>
        <v>1.8697262202332927E-2</v>
      </c>
      <c r="H44" s="31">
        <f t="shared" si="36"/>
        <v>1.6497074999999996E-3</v>
      </c>
      <c r="I44" s="31">
        <f ca="1">IF(Reset,1,D44/100*(C44^2+F44^2/12)*O44/1000)</f>
        <v>0.69180822717934276</v>
      </c>
      <c r="J44" s="31">
        <f ca="1">IF(Reset,1,(1-D44/100)*(C44^2+F44^2/12)*O44/1000)</f>
        <v>3.0329797016213387E-2</v>
      </c>
      <c r="K44" s="31">
        <f t="shared" si="5"/>
        <v>4.7999999999999996E-3</v>
      </c>
      <c r="L44" s="31">
        <f t="shared" si="6"/>
        <v>1.1097622023329287E-3</v>
      </c>
      <c r="M44" s="31">
        <f t="shared" ca="1" si="37"/>
        <v>0.7483947561002221</v>
      </c>
      <c r="N44" s="28">
        <f ca="1">IF(Reset=1,150,M44*Rth_typ+$A44)</f>
        <v>50.445421707407547</v>
      </c>
      <c r="O44" s="30">
        <f t="shared" ca="1" si="7"/>
        <v>722.13802419555623</v>
      </c>
      <c r="P44" s="30">
        <f t="shared" ca="1" si="8"/>
        <v>300.89084341481509</v>
      </c>
      <c r="Q44" s="29">
        <f t="shared" ca="1" si="9"/>
        <v>2.7340438268410798</v>
      </c>
      <c r="R44" s="100">
        <f t="shared" ca="1" si="10"/>
        <v>2.7340438268410798</v>
      </c>
      <c r="S44" s="111">
        <f t="shared" si="11"/>
        <v>0.66666666666666663</v>
      </c>
      <c r="T44" s="102">
        <f t="shared" ca="1" si="12"/>
        <v>95.8</v>
      </c>
      <c r="U44" s="157">
        <f t="shared" ca="1" si="13"/>
        <v>85</v>
      </c>
      <c r="V44" s="103">
        <f t="shared" ca="1" si="14"/>
        <v>0</v>
      </c>
      <c r="W44" s="112">
        <f t="shared" si="15"/>
        <v>1.8697262202332927E-2</v>
      </c>
      <c r="X44" s="112">
        <f t="shared" si="16"/>
        <v>1.0998049999999997E-3</v>
      </c>
      <c r="Y44" s="112">
        <f ca="1">IF(Reset,1,T44/100*(S44^2+V44^2/12)*AE44/1000)</f>
        <v>0.27725177147180852</v>
      </c>
      <c r="Z44" s="112">
        <f ca="1">IF(Reset,1,(1-T44/100)*(S44^2+V44^2/12)*AE44/1000)</f>
        <v>1.2155088102104352E-2</v>
      </c>
      <c r="AA44" s="112">
        <f t="shared" si="17"/>
        <v>3.1999999999999997E-3</v>
      </c>
      <c r="AB44" s="112">
        <f t="shared" si="18"/>
        <v>1.1097622023329287E-3</v>
      </c>
      <c r="AC44" s="112">
        <f t="shared" ca="1" si="38"/>
        <v>0.31351368897857873</v>
      </c>
      <c r="AD44" s="32">
        <f ca="1">IF(Reset=1,150,AC44*Rth_typ+$A44)</f>
        <v>35.659465425271677</v>
      </c>
      <c r="AE44" s="33">
        <f t="shared" ca="1" si="19"/>
        <v>651.16543404130402</v>
      </c>
      <c r="AF44" s="33">
        <f t="shared" ca="1" si="20"/>
        <v>271.31893085054332</v>
      </c>
      <c r="AG44" s="160">
        <f t="shared" ca="1" si="21"/>
        <v>3.032310090823878</v>
      </c>
      <c r="AH44" s="105">
        <f t="shared" ca="1" si="22"/>
        <v>3.032310090823878</v>
      </c>
      <c r="AI44" s="113">
        <f t="shared" si="23"/>
        <v>0.33333333333333331</v>
      </c>
      <c r="AJ44" s="107">
        <f t="shared" ca="1" si="24"/>
        <v>95.8</v>
      </c>
      <c r="AK44" s="167">
        <f t="shared" ca="1" si="25"/>
        <v>85</v>
      </c>
      <c r="AL44" s="170">
        <f t="shared" ca="1" si="26"/>
        <v>0</v>
      </c>
      <c r="AM44" s="171">
        <f t="shared" si="27"/>
        <v>1.8697262202332927E-2</v>
      </c>
      <c r="AN44" s="171">
        <f t="shared" si="28"/>
        <v>5.4990249999999985E-4</v>
      </c>
      <c r="AO44" s="171">
        <f ca="1">IF(Reset,1,AJ44/100*(AI44^2+AL44^2/12)*AU44/1000)</f>
        <v>6.5434644770852132E-2</v>
      </c>
      <c r="AP44" s="171">
        <f ca="1">IF(Reset,1,(1-AJ44/100)*(AI44^2+AL44^2/12)*AU44/1000)</f>
        <v>2.8687422550895533E-3</v>
      </c>
      <c r="AQ44" s="171">
        <f t="shared" si="29"/>
        <v>1.5999999999999999E-3</v>
      </c>
      <c r="AR44" s="171">
        <f t="shared" si="30"/>
        <v>1.1097622023329287E-3</v>
      </c>
      <c r="AS44" s="171">
        <f t="shared" ca="1" si="39"/>
        <v>9.0260313930607544E-2</v>
      </c>
      <c r="AT44" s="34">
        <f ca="1">IF(Reset=1,150,AS44*Rth_typ+$A44)</f>
        <v>28.068850673640657</v>
      </c>
      <c r="AU44" s="172">
        <f t="shared" ca="1" si="31"/>
        <v>614.73048323347518</v>
      </c>
      <c r="AV44" s="172">
        <f t="shared" ca="1" si="32"/>
        <v>256.13770134728134</v>
      </c>
      <c r="AW44" s="173">
        <f t="shared" ca="1" si="33"/>
        <v>3.2720404351375185</v>
      </c>
      <c r="AX44" s="108">
        <f t="shared" ca="1" si="34"/>
        <v>3.2720404351375185</v>
      </c>
    </row>
    <row r="45" spans="1:50" s="58" customFormat="1" ht="12.75" customHeight="1" thickBot="1" x14ac:dyDescent="0.25">
      <c r="A45" s="114">
        <v>25</v>
      </c>
      <c r="B45" s="115">
        <f>Constants!$C$7</f>
        <v>3.3</v>
      </c>
      <c r="C45" s="116">
        <f t="shared" si="1"/>
        <v>1</v>
      </c>
      <c r="D45" s="117">
        <f t="shared" ca="1" si="2"/>
        <v>95.8</v>
      </c>
      <c r="E45" s="156">
        <f t="shared" ca="1" si="3"/>
        <v>85</v>
      </c>
      <c r="F45" s="118">
        <f t="shared" ca="1" si="4"/>
        <v>0</v>
      </c>
      <c r="G45" s="119">
        <f t="shared" si="35"/>
        <v>1.754114151178356E-2</v>
      </c>
      <c r="H45" s="119">
        <f t="shared" si="36"/>
        <v>1.4519999999999997E-3</v>
      </c>
      <c r="I45" s="46">
        <f ca="1">IF(Reset,1,D45/100*(C45^2+F45^2/12)*O45/1000)</f>
        <v>0.69154246042051803</v>
      </c>
      <c r="J45" s="46">
        <f ca="1">IF(Reset,1,(1-D45/100)*(C45^2+F45^2/12)*O45/1000)</f>
        <v>3.0318145446411048E-2</v>
      </c>
      <c r="K45" s="119">
        <f t="shared" si="5"/>
        <v>4.7999999999999996E-3</v>
      </c>
      <c r="L45" s="119">
        <f t="shared" si="6"/>
        <v>1.041141511783558E-3</v>
      </c>
      <c r="M45" s="46">
        <f t="shared" ca="1" si="37"/>
        <v>0.74669488889049629</v>
      </c>
      <c r="N45" s="28">
        <f ca="1">IF(Reset=1,150,M45*Rth_typ+$A45)</f>
        <v>50.387626222276879</v>
      </c>
      <c r="O45" s="120">
        <f t="shared" ca="1" si="7"/>
        <v>721.86060586692906</v>
      </c>
      <c r="P45" s="120">
        <f t="shared" ca="1" si="8"/>
        <v>300.77525244455376</v>
      </c>
      <c r="Q45" s="36">
        <f t="shared" ca="1" si="9"/>
        <v>2.5186686196371615</v>
      </c>
      <c r="R45" s="118">
        <f t="shared" ca="1" si="10"/>
        <v>2.5186686196371615</v>
      </c>
      <c r="S45" s="121">
        <f t="shared" si="11"/>
        <v>0.66666666666666663</v>
      </c>
      <c r="T45" s="122">
        <f t="shared" ca="1" si="12"/>
        <v>95.8</v>
      </c>
      <c r="U45" s="158">
        <f t="shared" ca="1" si="13"/>
        <v>85</v>
      </c>
      <c r="V45" s="123">
        <f t="shared" ca="1" si="14"/>
        <v>0</v>
      </c>
      <c r="W45" s="124">
        <f t="shared" si="15"/>
        <v>1.754114151178356E-2</v>
      </c>
      <c r="X45" s="124">
        <f t="shared" si="16"/>
        <v>9.6799999999999979E-4</v>
      </c>
      <c r="Y45" s="125">
        <f ca="1">IF(Reset,1,T45/100*(S45^2+V45^2/12)*AE45/1000)</f>
        <v>0.27715013736318256</v>
      </c>
      <c r="Z45" s="125">
        <f ca="1">IF(Reset,1,(1-T45/100)*(S45^2+V45^2/12)*AE45/1000)</f>
        <v>1.2150632326987139E-2</v>
      </c>
      <c r="AA45" s="124">
        <f t="shared" si="17"/>
        <v>3.1999999999999997E-3</v>
      </c>
      <c r="AB45" s="124">
        <f t="shared" si="18"/>
        <v>1.041141511783558E-3</v>
      </c>
      <c r="AC45" s="125">
        <f t="shared" ca="1" si="38"/>
        <v>0.31205105271373684</v>
      </c>
      <c r="AD45" s="32">
        <f ca="1">IF(Reset=1,150,AC45*Rth_typ+$A45)</f>
        <v>35.609735792267053</v>
      </c>
      <c r="AE45" s="126">
        <f t="shared" ca="1" si="19"/>
        <v>650.92673180288182</v>
      </c>
      <c r="AF45" s="126">
        <f t="shared" ca="1" si="20"/>
        <v>271.21947158453412</v>
      </c>
      <c r="AG45" s="161">
        <f t="shared" ca="1" si="21"/>
        <v>2.8168171866059826</v>
      </c>
      <c r="AH45" s="127">
        <f t="shared" ca="1" si="22"/>
        <v>2.8168171866059826</v>
      </c>
      <c r="AI45" s="128">
        <f t="shared" si="23"/>
        <v>0.33333333333333331</v>
      </c>
      <c r="AJ45" s="107">
        <f t="shared" ca="1" si="24"/>
        <v>95.8</v>
      </c>
      <c r="AK45" s="174">
        <f t="shared" ca="1" si="25"/>
        <v>85</v>
      </c>
      <c r="AL45" s="170">
        <f t="shared" ca="1" si="26"/>
        <v>0</v>
      </c>
      <c r="AM45" s="177">
        <f t="shared" si="27"/>
        <v>1.754114151178356E-2</v>
      </c>
      <c r="AN45" s="177">
        <f t="shared" si="28"/>
        <v>4.8399999999999989E-4</v>
      </c>
      <c r="AO45" s="178">
        <f ca="1">IF(Reset,1,AJ45/100*(AI45^2+AL45^2/12)*AU45/1000)</f>
        <v>6.5411809978622282E-2</v>
      </c>
      <c r="AP45" s="178">
        <f ca="1">IF(Reset,1,(1-AJ45/100)*(AI45^2+AL45^2/12)*AU45/1000)</f>
        <v>2.867741147288245E-3</v>
      </c>
      <c r="AQ45" s="177">
        <f t="shared" si="29"/>
        <v>1.5999999999999999E-3</v>
      </c>
      <c r="AR45" s="177">
        <f t="shared" si="30"/>
        <v>1.041141511783558E-3</v>
      </c>
      <c r="AS45" s="178">
        <f t="shared" ca="1" si="39"/>
        <v>8.894583414947764E-2</v>
      </c>
      <c r="AT45" s="34">
        <f ca="1">IF(Reset=1,150,AS45*Rth_typ+$A45)</f>
        <v>28.02415836108224</v>
      </c>
      <c r="AU45" s="179">
        <f t="shared" ca="1" si="31"/>
        <v>614.51596013319477</v>
      </c>
      <c r="AV45" s="179">
        <f t="shared" ca="1" si="32"/>
        <v>256.04831672216449</v>
      </c>
      <c r="AW45" s="176">
        <f t="shared" ca="1" si="33"/>
        <v>3.0564603382785998</v>
      </c>
      <c r="AX45" s="129">
        <f t="shared" ca="1" si="34"/>
        <v>3.0564603382785998</v>
      </c>
    </row>
    <row r="46" spans="1:50" s="380" customFormat="1" ht="18" customHeight="1" x14ac:dyDescent="0.25">
      <c r="A46" s="130" t="s">
        <v>285</v>
      </c>
      <c r="B46" s="131"/>
      <c r="C46" s="132"/>
      <c r="D46" s="133"/>
      <c r="E46" s="133"/>
      <c r="F46" s="134"/>
      <c r="G46" s="134"/>
      <c r="H46" s="134"/>
      <c r="I46" s="134"/>
      <c r="J46" s="134"/>
      <c r="K46" s="134"/>
      <c r="L46" s="134"/>
      <c r="M46" s="134"/>
      <c r="N46" s="135"/>
      <c r="O46" s="135"/>
      <c r="P46" s="135"/>
      <c r="Q46" s="134"/>
      <c r="R46" s="134"/>
      <c r="S46" s="132"/>
      <c r="T46" s="132"/>
      <c r="U46" s="133"/>
      <c r="V46" s="135"/>
      <c r="W46" s="134"/>
      <c r="X46" s="134"/>
      <c r="Y46" s="134"/>
      <c r="Z46" s="134"/>
      <c r="AA46" s="134"/>
      <c r="AB46" s="134"/>
      <c r="AC46" s="134"/>
      <c r="AD46" s="134"/>
      <c r="AE46" s="135"/>
      <c r="AF46" s="135"/>
      <c r="AG46" s="134"/>
      <c r="AH46" s="134"/>
      <c r="AI46" s="132"/>
      <c r="AJ46" s="132"/>
      <c r="AK46" s="133"/>
      <c r="AL46" s="135"/>
      <c r="AM46" s="134"/>
      <c r="AN46" s="134"/>
      <c r="AO46" s="134"/>
      <c r="AP46" s="134"/>
      <c r="AQ46" s="134"/>
      <c r="AR46" s="134"/>
      <c r="AS46" s="134"/>
      <c r="AT46" s="134"/>
      <c r="AU46" s="135"/>
      <c r="AV46" s="135"/>
      <c r="AW46" s="134"/>
      <c r="AX46" s="134"/>
    </row>
    <row r="47" spans="1:50" s="380" customFormat="1" ht="18" customHeight="1" x14ac:dyDescent="0.2">
      <c r="A47" s="81"/>
      <c r="B47" s="82"/>
      <c r="C47" s="83"/>
      <c r="D47" s="83"/>
      <c r="E47" s="83"/>
      <c r="F47" s="83"/>
      <c r="G47" s="83"/>
      <c r="H47" s="83" t="s">
        <v>223</v>
      </c>
      <c r="I47" s="83" t="s">
        <v>223</v>
      </c>
      <c r="J47" s="83" t="s">
        <v>224</v>
      </c>
      <c r="K47" s="83"/>
      <c r="L47" s="83"/>
      <c r="M47" s="83"/>
      <c r="N47" s="83"/>
      <c r="O47" s="83" t="s">
        <v>223</v>
      </c>
      <c r="P47" s="83" t="s">
        <v>224</v>
      </c>
      <c r="Q47" s="83"/>
      <c r="R47" s="83"/>
      <c r="S47" s="83"/>
      <c r="T47" s="83"/>
      <c r="U47" s="83"/>
      <c r="V47" s="83"/>
      <c r="W47" s="83"/>
      <c r="X47" s="83" t="s">
        <v>223</v>
      </c>
      <c r="Y47" s="83" t="s">
        <v>223</v>
      </c>
      <c r="Z47" s="83" t="s">
        <v>224</v>
      </c>
      <c r="AA47" s="83"/>
      <c r="AB47" s="83"/>
      <c r="AC47" s="83"/>
      <c r="AD47" s="83"/>
      <c r="AE47" s="83" t="s">
        <v>223</v>
      </c>
      <c r="AF47" s="83" t="s">
        <v>224</v>
      </c>
      <c r="AG47" s="83"/>
      <c r="AH47" s="83"/>
      <c r="AI47" s="82"/>
      <c r="AJ47" s="83"/>
      <c r="AK47" s="83"/>
      <c r="AL47" s="83"/>
      <c r="AM47" s="83"/>
      <c r="AN47" s="83" t="s">
        <v>223</v>
      </c>
      <c r="AO47" s="83" t="s">
        <v>223</v>
      </c>
      <c r="AP47" s="83" t="s">
        <v>224</v>
      </c>
      <c r="AQ47" s="83"/>
      <c r="AR47" s="83"/>
      <c r="AS47" s="83"/>
      <c r="AT47" s="83"/>
      <c r="AU47" s="83" t="s">
        <v>223</v>
      </c>
      <c r="AV47" s="83" t="s">
        <v>224</v>
      </c>
      <c r="AW47" s="83"/>
      <c r="AX47" s="83"/>
    </row>
    <row r="48" spans="1:50" s="43" customFormat="1" ht="15.75" thickBot="1" x14ac:dyDescent="0.3">
      <c r="A48" s="18" t="s">
        <v>266</v>
      </c>
      <c r="B48" s="84" t="s">
        <v>7</v>
      </c>
      <c r="C48" s="19" t="s">
        <v>222</v>
      </c>
      <c r="D48" s="13" t="s">
        <v>267</v>
      </c>
      <c r="E48" s="13" t="s">
        <v>319</v>
      </c>
      <c r="F48" s="13" t="s">
        <v>268</v>
      </c>
      <c r="G48" s="13" t="s">
        <v>225</v>
      </c>
      <c r="H48" s="13" t="s">
        <v>226</v>
      </c>
      <c r="I48" s="13" t="s">
        <v>227</v>
      </c>
      <c r="J48" s="13" t="s">
        <v>227</v>
      </c>
      <c r="K48" s="13" t="s">
        <v>228</v>
      </c>
      <c r="L48" s="13" t="s">
        <v>283</v>
      </c>
      <c r="M48" s="13" t="s">
        <v>229</v>
      </c>
      <c r="N48" s="13" t="s">
        <v>272</v>
      </c>
      <c r="O48" s="13" t="s">
        <v>273</v>
      </c>
      <c r="P48" s="13" t="s">
        <v>273</v>
      </c>
      <c r="Q48" s="13" t="s">
        <v>276</v>
      </c>
      <c r="R48" s="84" t="s">
        <v>284</v>
      </c>
      <c r="S48" s="19" t="s">
        <v>222</v>
      </c>
      <c r="T48" s="13" t="s">
        <v>267</v>
      </c>
      <c r="U48" s="13" t="s">
        <v>319</v>
      </c>
      <c r="V48" s="13" t="s">
        <v>268</v>
      </c>
      <c r="W48" s="13" t="s">
        <v>225</v>
      </c>
      <c r="X48" s="13" t="s">
        <v>226</v>
      </c>
      <c r="Y48" s="13" t="s">
        <v>227</v>
      </c>
      <c r="Z48" s="13" t="s">
        <v>227</v>
      </c>
      <c r="AA48" s="13" t="s">
        <v>228</v>
      </c>
      <c r="AB48" s="13" t="s">
        <v>283</v>
      </c>
      <c r="AC48" s="13" t="s">
        <v>229</v>
      </c>
      <c r="AD48" s="13" t="s">
        <v>272</v>
      </c>
      <c r="AE48" s="13" t="s">
        <v>273</v>
      </c>
      <c r="AF48" s="13" t="s">
        <v>273</v>
      </c>
      <c r="AG48" s="13" t="s">
        <v>276</v>
      </c>
      <c r="AH48" s="48" t="s">
        <v>284</v>
      </c>
      <c r="AI48" s="19" t="s">
        <v>222</v>
      </c>
      <c r="AJ48" s="13" t="s">
        <v>267</v>
      </c>
      <c r="AK48" s="13" t="s">
        <v>319</v>
      </c>
      <c r="AL48" s="13" t="s">
        <v>268</v>
      </c>
      <c r="AM48" s="13" t="s">
        <v>225</v>
      </c>
      <c r="AN48" s="13" t="s">
        <v>226</v>
      </c>
      <c r="AO48" s="13" t="s">
        <v>227</v>
      </c>
      <c r="AP48" s="13" t="s">
        <v>227</v>
      </c>
      <c r="AQ48" s="13" t="s">
        <v>228</v>
      </c>
      <c r="AR48" s="13" t="s">
        <v>283</v>
      </c>
      <c r="AS48" s="13" t="s">
        <v>229</v>
      </c>
      <c r="AT48" s="13" t="s">
        <v>272</v>
      </c>
      <c r="AU48" s="13" t="s">
        <v>273</v>
      </c>
      <c r="AV48" s="13" t="s">
        <v>273</v>
      </c>
      <c r="AW48" s="13" t="s">
        <v>276</v>
      </c>
      <c r="AX48" s="48" t="s">
        <v>284</v>
      </c>
    </row>
    <row r="49" spans="1:50" s="43" customFormat="1" ht="12.75" customHeight="1" x14ac:dyDescent="0.25">
      <c r="A49" s="20">
        <f t="shared" ref="A49:A89" si="40">Tamb_max</f>
        <v>80</v>
      </c>
      <c r="B49" s="85">
        <f t="shared" ref="B49:B88" si="41">$B50+$AX$90</f>
        <v>11.999999999999991</v>
      </c>
      <c r="C49" s="86">
        <f t="shared" ref="C49:C89" si="42">Iout</f>
        <v>1</v>
      </c>
      <c r="D49" s="136">
        <f t="shared" ref="D49:D89" ca="1" si="43">IF( 100*((Vout_typ)+C49*(IF(ISBLANK(DCRLo_Sel),DCR_Lo,DCRLo_Sel)/1000*(1+TCR_DCRLo/100*(N49-25))+P49/1000))/($B49-C49*O49/1000) &gt; ChosenmaxDuty_max, ChosenmaxDuty_max, 100*((Vout_typ)+C49*(IF(ISBLANK(DCRLo_Sel),DCR_Lo,DCRLo_Sel)/1000*(1+TCR_DCRLo/100*(N49-25))+P49/1000))/($B49-C49*O49/1000) )</f>
        <v>50.801523716895723</v>
      </c>
      <c r="E49" s="155">
        <f t="shared" ref="E49:E89" ca="1" si="44">ROUNDDOWN((1-D49/100)/Fsw_Sel*1000-2*tnonOverlap,0)</f>
        <v>1209</v>
      </c>
      <c r="F49" s="88">
        <f t="shared" ref="F49:F89" ca="1" si="45">IF(($B49-C49*IF(ISBLANK(DCRLo_Sel),DCR_Lo,DCRLo_Sel)/1000*(1+TCR_DCRLo/100*(N49-25))-(Vout_typ))/(IF(ISBLANK(Lo_sel),Lo_Ridley,Lo_sel)/1000000)*D49/100/(IF(ISBLANK(Fsw_Sel),Fsw_Recom,Fsw_Sel)*1000000)&lt;0, 0, ($B49-C49*IF(ISBLANK(DCRLo_Sel),DCR_Lo,DCRLo_Sel)/1000*(1+TCR_DCRLo/100*(N49-25))-(Vout_typ))/(IF(ISBLANK(Lo_sel),Lo_Ridley,Lo_sel)/1000000)*D49/100/(IF(ISBLANK(Fsw_Sel),Fsw_Recom,Fsw_Sel)*1000000))</f>
        <v>0.397034943810396</v>
      </c>
      <c r="G49" s="22">
        <f t="shared" ref="G49:G89" si="46">$B49*IQ/1000+IF(ISBLANK(Fsw_Sel),Fsw_Recom,Fsw_Sel)*1000000*(QgHS+QgLS)/1000000000*$B49</f>
        <v>6.378596913375835E-2</v>
      </c>
      <c r="H49" s="22">
        <f t="shared" ref="H49:H89" si="47">$B49*C49*($B49/(SR_rise*1000000000)*IF(ISBLANK(Fsw_Sel),Fsw_Recom,Fsw_Sel)*1000000/2+$B49/(SR_fall*1000000000)*IF(ISBLANK(Fsw_Sel),Fsw_Recom,Fsw_Sel)*1000000/2)</f>
        <v>1.9199999999999971E-2</v>
      </c>
      <c r="I49" s="22">
        <f ca="1">IF(Reset,1,D49/100*(C49^2+F49^2/12)*O49/1000)</f>
        <v>0.54199906297777312</v>
      </c>
      <c r="J49" s="22">
        <f ca="1">IF(Reset,1,(1-D49/100)*(C49^2+F49^2/12)*O49/1000)</f>
        <v>0.52489622543562031</v>
      </c>
      <c r="K49" s="31">
        <f t="shared" ref="K49:K89" si="48">2*C49*tnonOverlap/1000000000*VSD_LS*IF(ISBLANK(Fsw_Sel),Fsw_Recom,Fsw_Sel)*1000000</f>
        <v>4.7999999999999996E-3</v>
      </c>
      <c r="L49" s="22">
        <f t="shared" ref="L49:L89" si="49">(QgHS+QgLS)/1000000000*$B49*IF(ISBLANK(Fsw_Sel),Fsw_Recom,Fsw_Sel)*1000000</f>
        <v>3.7859691337583908E-3</v>
      </c>
      <c r="M49" s="22">
        <f ca="1">SUM(G49:L49)</f>
        <v>1.15846722668091</v>
      </c>
      <c r="N49" s="21">
        <f ca="1">IF(Reset=1,150,M49*Rth_typ+$A49)</f>
        <v>119.38788570715093</v>
      </c>
      <c r="O49" s="21">
        <f t="shared" ref="O49:O89" ca="1" si="50">RdsHS_max+RdsHS_max*TCR_Rds/100*(N49-25)</f>
        <v>1053.0618513943245</v>
      </c>
      <c r="P49" s="21">
        <f t="shared" ref="P49:P89" ca="1" si="51">RdsLS_max+RdsLS_max*TCR_Rds/100*(N49-25)</f>
        <v>438.77577141430186</v>
      </c>
      <c r="Q49" s="22">
        <f t="shared" ref="Q49:Q89" ca="1" si="52">IF(E49&gt;toffmin_typ,(1-toffmin_typ/1000000000*Fsw_Sel*1000000) * ($B49+C49*P49/1000-C49*O49/1000) - (C49*P49/1000+C49*(1+($A49-25)*TCR_DCRLo/100)*IF(ISBLANK(DCRLo_Sel),DCR_Lo/1000,DCRLo_Sel/1000)),(1-toffmin_typ/1000000000*Fsw_Sel/4*1000000) * ($B49+C49*P49/1000-C49*O49/1000) - (C49*P49/1000+C49*(1+($A49-25)*TCR_DCRLo/100)*IF(ISBLANK(DCRLo_Sel),DCR_Lo/1000,DCRLo_Sel/1000)))</f>
        <v>10.517258625324986</v>
      </c>
      <c r="R49" s="88">
        <f t="shared" ref="R49:R89" ca="1" si="53">IF(Q49&gt;(Vout_typ),(Vout_typ),Q49)</f>
        <v>5.0744525547445258</v>
      </c>
      <c r="S49" s="89">
        <f t="shared" ref="S49:S89" si="54">2*Iout/3</f>
        <v>0.66666666666666663</v>
      </c>
      <c r="T49" s="90">
        <f t="shared" ref="T49:T89" ca="1" si="55">IF( 100*((Vout_typ)+S49*(IF(ISBLANK(DCRLo_Sel),DCR_Lo,DCRLo_Sel)/1000*(1+TCR_DCRLo/100*(AD49-25))+AF49/1000))/($B49-S49*AE49/1000) &gt; ChosenmaxDuty_max, ChosenmaxDuty_max, 100*((Vout_typ)+S49*(IF(ISBLANK(DCRLo_Sel),DCR_Lo,DCRLo_Sel)/1000*(1+TCR_DCRLo/100*(AD49-25))+AF49/1000))/($B49-S49*AE49/1000) )</f>
        <v>47.219184583391332</v>
      </c>
      <c r="U49" s="157">
        <f t="shared" ref="U49:U89" ca="1" si="56">ROUNDDOWN((1-T49/100)/Fsw_Sel*1000-2*tnonOverlap,0)</f>
        <v>1299</v>
      </c>
      <c r="V49" s="162">
        <f t="shared" ref="V49:V89" ca="1" si="57">IF(($B49-S49*IF(ISBLANK(DCRLo_Sel),DCR_Lo,DCRLo_Sel)/1000*(1+TCR_DCRLo/100*(AD49-25))-(Vout_typ))/(IF(ISBLANK(Lo_sel),Lo_Ridley,Lo_sel)/1000000)*T49/100/(IF(ISBLANK(Fsw_Sel),Fsw_Recom,Fsw_Sel)*1000000)&lt;0, 0, ($B49-S49*IF(ISBLANK(DCRLo_Sel),DCR_Lo,DCRLo_Sel)/1000*(1+TCR_DCRLo/100*(AD49-25))-(Vout_typ))/(IF(ISBLANK(Lo_sel),Lo_Ridley,Lo_sel)/1000000)*T49/100/(IF(ISBLANK(Fsw_Sel),Fsw_Recom,Fsw_Sel)*1000000))</f>
        <v>0.37000322256111334</v>
      </c>
      <c r="W49" s="159">
        <f t="shared" ref="W49:W89" si="58">$B49*IQ/1000+IF(ISBLANK(Fsw_Sel),Fsw_Recom,Fsw_Sel)*1000000*(QgHS+QgLS)/1000000000*$B49</f>
        <v>6.378596913375835E-2</v>
      </c>
      <c r="X49" s="159">
        <f t="shared" ref="X49:X89" si="59">$B49*S49*($B49/(SR_rise*1000000000)*IF(ISBLANK(Fsw_Sel),Fsw_Recom,Fsw_Sel)*1000000/2+$B49/(SR_fall*1000000000)*IF(ISBLANK(Fsw_Sel),Fsw_Recom,Fsw_Sel)*1000000/2)</f>
        <v>1.279999999999998E-2</v>
      </c>
      <c r="Y49" s="159">
        <f ca="1">IF(Reset,1,T49/100*(S49^2+V49^2/12)*AE49/1000)</f>
        <v>0.20409556469377821</v>
      </c>
      <c r="Z49" s="159">
        <f ca="1">IF(Reset,1,(1-T49/100)*(S49^2+V49^2/12)*AE49/1000)</f>
        <v>0.22813461144011013</v>
      </c>
      <c r="AA49" s="159">
        <f t="shared" ref="AA49:AA89" si="60">2*S49*tnonOverlap/1000000000*VSD_LS*IF(ISBLANK(Fsw_Sel),Fsw_Recom,Fsw_Sel)*1000000</f>
        <v>3.1999999999999997E-3</v>
      </c>
      <c r="AB49" s="159">
        <f t="shared" ref="AB49:AB89" si="61">(QgHS+QgLS)/1000000000*$B49*IF(ISBLANK(Fsw_Sel),Fsw_Recom,Fsw_Sel)*1000000</f>
        <v>3.7859691337583908E-3</v>
      </c>
      <c r="AC49" s="159">
        <f ca="1">SUM(W49:AB49)</f>
        <v>0.515802114401405</v>
      </c>
      <c r="AD49" s="23">
        <f ca="1">IF(Reset=1,150,AC49*Rth_typ+$A49)</f>
        <v>97.537271889647769</v>
      </c>
      <c r="AE49" s="23">
        <f t="shared" ref="AE49:AE89" ca="1" si="62">RdsHS_max+RdsHS_max*TCR_Rds/100*(AD49-25)</f>
        <v>948.17890507030927</v>
      </c>
      <c r="AF49" s="23">
        <f t="shared" ref="AF49:AF89" ca="1" si="63">RdsLS_max+RdsLS_max*TCR_Rds/100*(AD49-25)</f>
        <v>395.07454377929554</v>
      </c>
      <c r="AG49" s="159">
        <f t="shared" ref="AG49:AG89" ca="1" si="64">IF(U49&gt;toffmin_typ,(1-toffmin_typ/1000000000*Fsw_Sel*1000000) * ($B49+S49*AF49/1000-S49*AE49/1000) - (S49*AF49/1000+S49*(1+($A49-25)*TCR_DCRLo/100)*IF(ISBLANK(DCRLo_Sel),DCR_Lo/1000,DCRLo_Sel/1000)),(1-toffmin_typ/1000000000*Fsw_Sel/4*1000000) * ($B49+S49*AF49/1000-S49*AE49/1000) - (S49*AF49/1000+S49*(1+($A49-25)*TCR_DCRLo/100)*IF(ISBLANK(DCRLo_Sel),DCR_Lo/1000,DCRLo_Sel/1000)))</f>
        <v>10.944040928809049</v>
      </c>
      <c r="AH49" s="137">
        <f t="shared" ref="AH49:AH89" ca="1" si="65">IF(AG49&gt;(Vout_typ),Vout_typ,AG49)</f>
        <v>5.0744525547445258</v>
      </c>
      <c r="AI49" s="93">
        <f t="shared" ref="AI49:AI89" si="66">Iout/3</f>
        <v>0.33333333333333331</v>
      </c>
      <c r="AJ49" s="94">
        <f t="shared" ref="AJ49:AJ89" ca="1" si="67">IF( 100*((Vout_typ)+AI49*(IF(ISBLANK(DCRLo_Sel),DCR_Lo,DCRLo_Sel)/1000*(1+TCR_DCRLo/100*(AT49-25))+AV49/1000))/($B49-AI49*AU49/1000) &gt; ChosenmaxDuty_max, ChosenmaxDuty_max, 100*((Vout_typ)+AI49*(IF(ISBLANK(DCRLo_Sel),DCR_Lo,DCRLo_Sel)/1000*(1+TCR_DCRLo/100*(AT49-25))+AV49/1000))/($B49-AI49*AU49/1000) )</f>
        <v>44.548830392308915</v>
      </c>
      <c r="AK49" s="167">
        <f t="shared" ref="AK49:AK89" ca="1" si="68">ROUNDDOWN((1-AJ49/100)/Fsw_Sel*1000-2*tnonOverlap,0)</f>
        <v>1366</v>
      </c>
      <c r="AL49" s="168">
        <f t="shared" ref="AL49:AL89" ca="1" si="69">IF(($B49-AI49*IF(ISBLANK(DCRLo_Sel),DCR_Lo,DCRLo_Sel)/1000*(1+TCR_DCRLo/100*(AT49-25))-(Vout_typ))/(IF(ISBLANK(Lo_sel),Lo_Ridley,Lo_sel)/1000000)*AJ49/100/(IF(ISBLANK(Fsw_Sel),Fsw_Recom,Fsw_Sel)*1000000)&lt;0, 0, ($B49-AI49*IF(ISBLANK(DCRLo_Sel),DCR_Lo,DCRLo_Sel)/1000*(1+TCR_DCRLo/100*(AT49-25))-(Vout_typ))/(IF(ISBLANK(Lo_sel),Lo_Ridley,Lo_sel)/1000000)*AJ49/100/(IF(ISBLANK(Fsw_Sel),Fsw_Recom,Fsw_Sel)*1000000))</f>
        <v>0.34986384191762548</v>
      </c>
      <c r="AM49" s="169">
        <f t="shared" ref="AM49:AM89" si="70">$B49*IQ/1000+IF(ISBLANK(Fsw_Sel),Fsw_Recom,Fsw_Sel)*1000000*(QgHS+QgLS)/1000000000*$B49</f>
        <v>6.378596913375835E-2</v>
      </c>
      <c r="AN49" s="169">
        <f t="shared" ref="AN49:AN89" si="71">$B49*AI49*($B49/(SR_rise*1000000000)*IF(ISBLANK(Fsw_Sel),Fsw_Recom,Fsw_Sel)*1000000/2+$B49/(SR_fall*1000000000)*IF(ISBLANK(Fsw_Sel),Fsw_Recom,Fsw_Sel)*1000000/2)</f>
        <v>6.3999999999999899E-3</v>
      </c>
      <c r="AO49" s="169">
        <f ca="1">IF(Reset,1,AJ49/100*(AI49^2+AL49^2/12)*AU49/1000)</f>
        <v>4.8316120806413142E-2</v>
      </c>
      <c r="AP49" s="169">
        <f ca="1">IF(Reset,1,(1-AJ49/100)*(AI49^2+AL49^2/12)*AU49/1000)</f>
        <v>6.0140420882624397E-2</v>
      </c>
      <c r="AQ49" s="169">
        <f t="shared" ref="AQ49:AQ89" si="72">2*AI49*tnonOverlap/1000000000*VSD_LS*IF(ISBLANK(Fsw_Sel),Fsw_Recom,Fsw_Sel)*1000000</f>
        <v>1.5999999999999999E-3</v>
      </c>
      <c r="AR49" s="169">
        <f t="shared" ref="AR49:AR89" si="73">(QgHS+QgLS)/1000000000*$B49*IF(ISBLANK(Fsw_Sel),Fsw_Recom,Fsw_Sel)*1000000</f>
        <v>3.7859691337583908E-3</v>
      </c>
      <c r="AS49" s="169">
        <f ca="1">SUM(AM49:AR49)</f>
        <v>0.18402847995655425</v>
      </c>
      <c r="AT49" s="26">
        <f ca="1">IF(Reset=1,150,AS49*Rth_typ+$A49)</f>
        <v>86.256968318522837</v>
      </c>
      <c r="AU49" s="26">
        <f t="shared" ref="AU49:AU89" ca="1" si="74">RdsHS_max+RdsHS_max*TCR_Rds/100*(AT49-25)</f>
        <v>894.0334479289096</v>
      </c>
      <c r="AV49" s="26">
        <f t="shared" ref="AV49:AV89" ca="1" si="75">RdsLS_max+RdsLS_max*TCR_Rds/100*(AT49-25)</f>
        <v>372.51393663704567</v>
      </c>
      <c r="AW49" s="169">
        <f t="shared" ref="AW49:AW89" ca="1" si="76">IF(AK49&gt;toffmin_typ,(1-toffmin_typ/1000000000*Fsw_Sel*1000000) * ($B49+AI49*AV49/1000-AI49*AU49/1000) - (AI49*AV49/1000+AI49*(1+($A49-25)*TCR_DCRLo/100)*IF(ISBLANK(DCRLo_Sel),DCR_Lo/1000,DCRLo_Sel/1000)),(1-toffmin_typ/1000000000*Fsw_Sel/4*1000000) * ($B49+AI49*AV49/1000-AI49*AU49/1000) - (AI49*AV49/1000+AI49*(1+($A49-25)*TCR_DCRLo/100)*IF(ISBLANK(DCRLo_Sel),DCR_Lo/1000,DCRLo_Sel/1000)))</f>
        <v>11.285710988484995</v>
      </c>
      <c r="AX49" s="138">
        <f t="shared" ref="AX49:AX89" ca="1" si="77">IF(AW49&gt;(Vout_typ),(Vout_typ),AW49)</f>
        <v>5.0744525547445258</v>
      </c>
    </row>
    <row r="50" spans="1:50" s="43" customFormat="1" ht="12.75" customHeight="1" x14ac:dyDescent="0.25">
      <c r="A50" s="27">
        <f t="shared" si="40"/>
        <v>80</v>
      </c>
      <c r="B50" s="109">
        <f t="shared" si="41"/>
        <v>11.782499999999992</v>
      </c>
      <c r="C50" s="110">
        <f t="shared" si="42"/>
        <v>1</v>
      </c>
      <c r="D50" s="99">
        <f t="shared" ca="1" si="43"/>
        <v>51.82739395084424</v>
      </c>
      <c r="E50" s="155">
        <f t="shared" ca="1" si="44"/>
        <v>1184</v>
      </c>
      <c r="F50" s="100">
        <f t="shared" ca="1" si="45"/>
        <v>0.39224367413123551</v>
      </c>
      <c r="G50" s="31">
        <f t="shared" si="46"/>
        <v>6.2629848443208971E-2</v>
      </c>
      <c r="H50" s="31">
        <f t="shared" si="47"/>
        <v>1.8510307499999976E-2</v>
      </c>
      <c r="I50" s="31">
        <f ca="1">IF(Reset,1,D50/100*(C50^2+F50^2/12)*O50/1000)</f>
        <v>0.55254149132610364</v>
      </c>
      <c r="J50" s="31">
        <f ca="1">IF(Reset,1,(1-D50/100)*(C50^2+F50^2/12)*O50/1000)</f>
        <v>0.51357711739684775</v>
      </c>
      <c r="K50" s="31">
        <f t="shared" si="48"/>
        <v>4.7999999999999996E-3</v>
      </c>
      <c r="L50" s="31">
        <f t="shared" si="49"/>
        <v>3.7173484432090199E-3</v>
      </c>
      <c r="M50" s="31">
        <f t="shared" ref="M50:M88" ca="1" si="78">SUM(G50:L50)</f>
        <v>1.1557761131093691</v>
      </c>
      <c r="N50" s="28">
        <f ca="1">IF(Reset=1,150,M50*Rth_typ+$A50)</f>
        <v>119.29638784571856</v>
      </c>
      <c r="O50" s="30">
        <f t="shared" ca="1" si="50"/>
        <v>1052.622661659449</v>
      </c>
      <c r="P50" s="30">
        <f t="shared" ca="1" si="51"/>
        <v>438.59277569143711</v>
      </c>
      <c r="Q50" s="29">
        <f t="shared" ca="1" si="52"/>
        <v>10.307584104463455</v>
      </c>
      <c r="R50" s="139">
        <f t="shared" ca="1" si="53"/>
        <v>5.0744525547445258</v>
      </c>
      <c r="S50" s="111">
        <f t="shared" si="54"/>
        <v>0.66666666666666663</v>
      </c>
      <c r="T50" s="102">
        <f t="shared" ca="1" si="55"/>
        <v>48.138332809755205</v>
      </c>
      <c r="U50" s="157">
        <f t="shared" ca="1" si="56"/>
        <v>1276</v>
      </c>
      <c r="V50" s="163">
        <f t="shared" ca="1" si="57"/>
        <v>0.36530807934090087</v>
      </c>
      <c r="W50" s="164">
        <f t="shared" si="58"/>
        <v>6.2629848443208971E-2</v>
      </c>
      <c r="X50" s="164">
        <f t="shared" si="59"/>
        <v>1.2340204999999983E-2</v>
      </c>
      <c r="Y50" s="164">
        <f ca="1">IF(Reset,1,T50/100*(S50^2+V50^2/12)*AE50/1000)</f>
        <v>0.20786140455239396</v>
      </c>
      <c r="Z50" s="164">
        <f ca="1">IF(Reset,1,(1-T50/100)*(S50^2+V50^2/12)*AE50/1000)</f>
        <v>0.2239387688642287</v>
      </c>
      <c r="AA50" s="164">
        <f t="shared" si="60"/>
        <v>3.1999999999999997E-3</v>
      </c>
      <c r="AB50" s="164">
        <f t="shared" si="61"/>
        <v>3.7173484432090199E-3</v>
      </c>
      <c r="AC50" s="164">
        <f t="shared" ref="AC50:AC89" ca="1" si="79">SUM(W50:AB50)</f>
        <v>0.51368757530304066</v>
      </c>
      <c r="AD50" s="32">
        <f ca="1">IF(Reset=1,150,AC50*Rth_typ+$A50)</f>
        <v>97.465377560303381</v>
      </c>
      <c r="AE50" s="165">
        <f t="shared" ca="1" si="62"/>
        <v>947.8338122894562</v>
      </c>
      <c r="AF50" s="165">
        <f t="shared" ca="1" si="63"/>
        <v>394.93075512060676</v>
      </c>
      <c r="AG50" s="160">
        <f t="shared" ca="1" si="64"/>
        <v>10.734161427769514</v>
      </c>
      <c r="AH50" s="140">
        <f t="shared" ca="1" si="65"/>
        <v>5.0744525547445258</v>
      </c>
      <c r="AI50" s="113">
        <f t="shared" si="66"/>
        <v>0.33333333333333331</v>
      </c>
      <c r="AJ50" s="107">
        <f t="shared" ca="1" si="67"/>
        <v>45.391786738793463</v>
      </c>
      <c r="AK50" s="167">
        <f t="shared" ca="1" si="68"/>
        <v>1345</v>
      </c>
      <c r="AL50" s="170">
        <f t="shared" ca="1" si="69"/>
        <v>0.34526513817902077</v>
      </c>
      <c r="AM50" s="171">
        <f t="shared" si="70"/>
        <v>6.2629848443208971E-2</v>
      </c>
      <c r="AN50" s="171">
        <f t="shared" si="71"/>
        <v>6.1701024999999913E-3</v>
      </c>
      <c r="AO50" s="171">
        <f ca="1">IF(Reset,1,AJ50/100*(AI50^2+AL50^2/12)*AU50/1000)</f>
        <v>4.9106770735956991E-2</v>
      </c>
      <c r="AP50" s="171">
        <f ca="1">IF(Reset,1,(1-AJ50/100)*(AI50^2+AL50^2/12)*AU50/1000)</f>
        <v>5.9077494004581545E-2</v>
      </c>
      <c r="AQ50" s="171">
        <f t="shared" si="72"/>
        <v>1.5999999999999999E-3</v>
      </c>
      <c r="AR50" s="171">
        <f t="shared" si="73"/>
        <v>3.7173484432090199E-3</v>
      </c>
      <c r="AS50" s="171">
        <f t="shared" ref="AS50:AS89" ca="1" si="80">SUM(AM50:AR50)</f>
        <v>0.1823015641269565</v>
      </c>
      <c r="AT50" s="34">
        <f ca="1">IF(Reset=1,150,AS50*Rth_typ+$A50)</f>
        <v>86.198253180316527</v>
      </c>
      <c r="AU50" s="172">
        <f t="shared" ca="1" si="74"/>
        <v>893.75161526551938</v>
      </c>
      <c r="AV50" s="172">
        <f t="shared" ca="1" si="75"/>
        <v>372.39650636063305</v>
      </c>
      <c r="AW50" s="173">
        <f t="shared" ca="1" si="76"/>
        <v>11.075698069479074</v>
      </c>
      <c r="AX50" s="141">
        <f t="shared" ca="1" si="77"/>
        <v>5.0744525547445258</v>
      </c>
    </row>
    <row r="51" spans="1:50" s="43" customFormat="1" ht="12.75" customHeight="1" x14ac:dyDescent="0.25">
      <c r="A51" s="27">
        <f t="shared" si="40"/>
        <v>80</v>
      </c>
      <c r="B51" s="109">
        <f t="shared" si="41"/>
        <v>11.564999999999992</v>
      </c>
      <c r="C51" s="110">
        <f t="shared" si="42"/>
        <v>1</v>
      </c>
      <c r="D51" s="99">
        <f t="shared" ca="1" si="43"/>
        <v>52.89563341472644</v>
      </c>
      <c r="E51" s="155">
        <f t="shared" ca="1" si="44"/>
        <v>1157</v>
      </c>
      <c r="F51" s="100">
        <f t="shared" ca="1" si="45"/>
        <v>0.38725551670090802</v>
      </c>
      <c r="G51" s="31">
        <f t="shared" si="46"/>
        <v>6.1473727752659607E-2</v>
      </c>
      <c r="H51" s="31">
        <f t="shared" si="47"/>
        <v>1.7833229999999978E-2</v>
      </c>
      <c r="I51" s="31">
        <f ca="1">IF(Reset,1,D51/100*(C51^2+F51^2/12)*O51/1000)</f>
        <v>0.56351493389035523</v>
      </c>
      <c r="J51" s="31">
        <f ca="1">IF(Reset,1,(1-D51/100)*(C51^2+F51^2/12)*O51/1000)</f>
        <v>0.50181862487835316</v>
      </c>
      <c r="K51" s="31">
        <f t="shared" si="48"/>
        <v>4.7999999999999996E-3</v>
      </c>
      <c r="L51" s="31">
        <f t="shared" si="49"/>
        <v>3.6487277526596491E-3</v>
      </c>
      <c r="M51" s="31">
        <f t="shared" ca="1" si="78"/>
        <v>1.1530892442740275</v>
      </c>
      <c r="N51" s="28">
        <f ca="1">IF(Reset=1,150,M51*Rth_typ+$A51)</f>
        <v>119.20503430531693</v>
      </c>
      <c r="O51" s="30">
        <f t="shared" ca="1" si="50"/>
        <v>1052.1841646655212</v>
      </c>
      <c r="P51" s="30">
        <f t="shared" ca="1" si="51"/>
        <v>438.41006861063386</v>
      </c>
      <c r="Q51" s="29">
        <f t="shared" ca="1" si="52"/>
        <v>10.097908904600338</v>
      </c>
      <c r="R51" s="139">
        <f t="shared" ca="1" si="53"/>
        <v>5.0744525547445258</v>
      </c>
      <c r="S51" s="111">
        <f t="shared" si="54"/>
        <v>0.66666666666666663</v>
      </c>
      <c r="T51" s="102">
        <f t="shared" ca="1" si="55"/>
        <v>49.094013601088818</v>
      </c>
      <c r="U51" s="157">
        <f t="shared" ca="1" si="56"/>
        <v>1252</v>
      </c>
      <c r="V51" s="163">
        <f t="shared" ca="1" si="57"/>
        <v>0.36042680406722888</v>
      </c>
      <c r="W51" s="164">
        <f t="shared" si="58"/>
        <v>6.1473727752659607E-2</v>
      </c>
      <c r="X51" s="164">
        <f t="shared" si="59"/>
        <v>1.1888819999999984E-2</v>
      </c>
      <c r="Y51" s="164">
        <f ca="1">IF(Reset,1,T51/100*(S51^2+V51^2/12)*AE51/1000)</f>
        <v>0.21177359323851497</v>
      </c>
      <c r="Z51" s="164">
        <f ca="1">IF(Reset,1,(1-T51/100)*(S51^2+V51^2/12)*AE51/1000)</f>
        <v>0.21958978022545086</v>
      </c>
      <c r="AA51" s="164">
        <f t="shared" si="60"/>
        <v>3.1999999999999997E-3</v>
      </c>
      <c r="AB51" s="164">
        <f t="shared" si="61"/>
        <v>3.6487277526596491E-3</v>
      </c>
      <c r="AC51" s="164">
        <f t="shared" ca="1" si="79"/>
        <v>0.51157464896928506</v>
      </c>
      <c r="AD51" s="32">
        <f ca="1">IF(Reset=1,150,AC51*Rth_typ+$A51)</f>
        <v>97.393538064955692</v>
      </c>
      <c r="AE51" s="165">
        <f t="shared" ca="1" si="62"/>
        <v>947.48898271178723</v>
      </c>
      <c r="AF51" s="165">
        <f t="shared" ca="1" si="63"/>
        <v>394.78707612991138</v>
      </c>
      <c r="AG51" s="160">
        <f t="shared" ca="1" si="64"/>
        <v>10.524281754741322</v>
      </c>
      <c r="AH51" s="140">
        <f t="shared" ca="1" si="65"/>
        <v>5.0744525547445258</v>
      </c>
      <c r="AI51" s="113">
        <f t="shared" si="66"/>
        <v>0.33333333333333331</v>
      </c>
      <c r="AJ51" s="107">
        <f t="shared" ca="1" si="67"/>
        <v>46.267272985561888</v>
      </c>
      <c r="AK51" s="167">
        <f t="shared" ca="1" si="68"/>
        <v>1323</v>
      </c>
      <c r="AL51" s="170">
        <f t="shared" ca="1" si="69"/>
        <v>0.34048914443317457</v>
      </c>
      <c r="AM51" s="171">
        <f t="shared" si="70"/>
        <v>6.1473727752659607E-2</v>
      </c>
      <c r="AN51" s="171">
        <f t="shared" si="71"/>
        <v>5.944409999999992E-3</v>
      </c>
      <c r="AO51" s="171">
        <f ca="1">IF(Reset,1,AJ51/100*(AI51^2+AL51^2/12)*AU51/1000)</f>
        <v>4.9925286567645707E-2</v>
      </c>
      <c r="AP51" s="171">
        <f ca="1">IF(Reset,1,(1-AJ51/100)*(AI51^2+AL51^2/12)*AU51/1000)</f>
        <v>5.7980979235453041E-2</v>
      </c>
      <c r="AQ51" s="171">
        <f t="shared" si="72"/>
        <v>1.5999999999999999E-3</v>
      </c>
      <c r="AR51" s="171">
        <f t="shared" si="73"/>
        <v>3.6487277526596491E-3</v>
      </c>
      <c r="AS51" s="171">
        <f t="shared" ca="1" si="80"/>
        <v>0.18057313130841798</v>
      </c>
      <c r="AT51" s="34">
        <f ca="1">IF(Reset=1,150,AS51*Rth_typ+$A51)</f>
        <v>86.139486464486211</v>
      </c>
      <c r="AU51" s="172">
        <f t="shared" ca="1" si="74"/>
        <v>893.46953502953374</v>
      </c>
      <c r="AV51" s="172">
        <f t="shared" ca="1" si="75"/>
        <v>372.27897292897239</v>
      </c>
      <c r="AW51" s="173">
        <f t="shared" ca="1" si="76"/>
        <v>10.86568523136062</v>
      </c>
      <c r="AX51" s="141">
        <f t="shared" ca="1" si="77"/>
        <v>5.0744525547445258</v>
      </c>
    </row>
    <row r="52" spans="1:50" s="43" customFormat="1" ht="12.75" customHeight="1" x14ac:dyDescent="0.25">
      <c r="A52" s="27">
        <f t="shared" si="40"/>
        <v>80</v>
      </c>
      <c r="B52" s="109">
        <f t="shared" si="41"/>
        <v>11.347499999999993</v>
      </c>
      <c r="C52" s="110">
        <f t="shared" si="42"/>
        <v>1</v>
      </c>
      <c r="D52" s="99">
        <f t="shared" ca="1" si="43"/>
        <v>54.008921513398704</v>
      </c>
      <c r="E52" s="155">
        <f t="shared" ca="1" si="44"/>
        <v>1129</v>
      </c>
      <c r="F52" s="100">
        <f t="shared" ca="1" si="45"/>
        <v>0.38205801160202352</v>
      </c>
      <c r="G52" s="31">
        <f t="shared" si="46"/>
        <v>6.0317607062110243E-2</v>
      </c>
      <c r="H52" s="31">
        <f t="shared" si="47"/>
        <v>1.716876749999998E-2</v>
      </c>
      <c r="I52" s="31">
        <f ca="1">IF(Reset,1,D52/100*(C52^2+F52^2/12)*O52/1000)</f>
        <v>0.5749464492973213</v>
      </c>
      <c r="J52" s="31">
        <f ca="1">IF(Reset,1,(1-D52/100)*(C52^2+F52^2/12)*O52/1000)</f>
        <v>0.48959332151570412</v>
      </c>
      <c r="K52" s="31">
        <f t="shared" si="48"/>
        <v>4.7999999999999996E-3</v>
      </c>
      <c r="L52" s="31">
        <f t="shared" si="49"/>
        <v>3.5801070621102786E-3</v>
      </c>
      <c r="M52" s="31">
        <f t="shared" ca="1" si="78"/>
        <v>1.1504062524372456</v>
      </c>
      <c r="N52" s="28">
        <f ca="1">IF(Reset=1,150,M52*Rth_typ+$A52)</f>
        <v>119.11381258286636</v>
      </c>
      <c r="O52" s="30">
        <f t="shared" ca="1" si="50"/>
        <v>1051.7463003977584</v>
      </c>
      <c r="P52" s="30">
        <f t="shared" ca="1" si="51"/>
        <v>438.22762516573272</v>
      </c>
      <c r="Q52" s="29">
        <f t="shared" ca="1" si="52"/>
        <v>9.8882330845601238</v>
      </c>
      <c r="R52" s="139">
        <f t="shared" ca="1" si="53"/>
        <v>5.0744525547445258</v>
      </c>
      <c r="S52" s="111">
        <f t="shared" si="54"/>
        <v>0.66666666666666663</v>
      </c>
      <c r="T52" s="102">
        <f t="shared" ca="1" si="55"/>
        <v>50.088448911020663</v>
      </c>
      <c r="U52" s="157">
        <f t="shared" ca="1" si="56"/>
        <v>1227</v>
      </c>
      <c r="V52" s="163">
        <f t="shared" ca="1" si="57"/>
        <v>0.35534807296896032</v>
      </c>
      <c r="W52" s="164">
        <f t="shared" si="58"/>
        <v>6.0317607062110243E-2</v>
      </c>
      <c r="X52" s="164">
        <f t="shared" si="59"/>
        <v>1.1445844999999986E-2</v>
      </c>
      <c r="Y52" s="164">
        <f ca="1">IF(Reset,1,T52/100*(S52^2+V52^2/12)*AE52/1000)</f>
        <v>0.21584092518040837</v>
      </c>
      <c r="Z52" s="164">
        <f ca="1">IF(Reset,1,(1-T52/100)*(S52^2+V52^2/12)*AE52/1000)</f>
        <v>0.21507863785864226</v>
      </c>
      <c r="AA52" s="164">
        <f t="shared" si="60"/>
        <v>3.1999999999999997E-3</v>
      </c>
      <c r="AB52" s="164">
        <f t="shared" si="61"/>
        <v>3.5801070621102786E-3</v>
      </c>
      <c r="AC52" s="164">
        <f t="shared" ca="1" si="79"/>
        <v>0.50946312216327116</v>
      </c>
      <c r="AD52" s="32">
        <f ca="1">IF(Reset=1,150,AC52*Rth_typ+$A52)</f>
        <v>97.321746153551217</v>
      </c>
      <c r="AE52" s="165">
        <f t="shared" ca="1" si="62"/>
        <v>947.14438153704577</v>
      </c>
      <c r="AF52" s="165">
        <f t="shared" ca="1" si="63"/>
        <v>394.64349230710241</v>
      </c>
      <c r="AG52" s="160">
        <f t="shared" ca="1" si="64"/>
        <v>10.314401932464509</v>
      </c>
      <c r="AH52" s="140">
        <f t="shared" ca="1" si="65"/>
        <v>5.0744525547445258</v>
      </c>
      <c r="AI52" s="113">
        <f t="shared" si="66"/>
        <v>0.33333333333333331</v>
      </c>
      <c r="AJ52" s="107">
        <f t="shared" ca="1" si="67"/>
        <v>47.177209141711202</v>
      </c>
      <c r="AK52" s="167">
        <f t="shared" ca="1" si="68"/>
        <v>1300</v>
      </c>
      <c r="AL52" s="170">
        <f t="shared" ca="1" si="69"/>
        <v>0.33552539596487846</v>
      </c>
      <c r="AM52" s="171">
        <f t="shared" si="70"/>
        <v>6.0317607062110243E-2</v>
      </c>
      <c r="AN52" s="171">
        <f t="shared" si="71"/>
        <v>5.7229224999999929E-3</v>
      </c>
      <c r="AO52" s="171">
        <f ca="1">IF(Reset,1,AJ52/100*(AI52^2+AL52^2/12)*AU52/1000)</f>
        <v>5.0773246277450064E-2</v>
      </c>
      <c r="AP52" s="171">
        <f ca="1">IF(Reset,1,(1-AJ52/100)*(AI52^2+AL52^2/12)*AU52/1000)</f>
        <v>5.6849156999812613E-2</v>
      </c>
      <c r="AQ52" s="171">
        <f t="shared" si="72"/>
        <v>1.5999999999999999E-3</v>
      </c>
      <c r="AR52" s="171">
        <f t="shared" si="73"/>
        <v>3.5801070621102786E-3</v>
      </c>
      <c r="AS52" s="171">
        <f t="shared" ca="1" si="80"/>
        <v>0.17884303990148318</v>
      </c>
      <c r="AT52" s="34">
        <f ca="1">IF(Reset=1,150,AS52*Rth_typ+$A52)</f>
        <v>86.080663356650433</v>
      </c>
      <c r="AU52" s="172">
        <f t="shared" ca="1" si="74"/>
        <v>893.18718411192208</v>
      </c>
      <c r="AV52" s="172">
        <f t="shared" ca="1" si="75"/>
        <v>372.16132671330087</v>
      </c>
      <c r="AW52" s="173">
        <f t="shared" ca="1" si="76"/>
        <v>10.65567248167987</v>
      </c>
      <c r="AX52" s="141">
        <f t="shared" ca="1" si="77"/>
        <v>5.0744525547445258</v>
      </c>
    </row>
    <row r="53" spans="1:50" s="43" customFormat="1" ht="12.75" customHeight="1" x14ac:dyDescent="0.25">
      <c r="A53" s="27">
        <f t="shared" si="40"/>
        <v>80</v>
      </c>
      <c r="B53" s="109">
        <f t="shared" si="41"/>
        <v>11.129999999999994</v>
      </c>
      <c r="C53" s="110">
        <f t="shared" si="42"/>
        <v>1</v>
      </c>
      <c r="D53" s="99">
        <f t="shared" ca="1" si="43"/>
        <v>55.170168459676468</v>
      </c>
      <c r="E53" s="155">
        <f t="shared" ca="1" si="44"/>
        <v>1100</v>
      </c>
      <c r="F53" s="100">
        <f t="shared" ca="1" si="45"/>
        <v>0.37663762580477139</v>
      </c>
      <c r="G53" s="31">
        <f t="shared" si="46"/>
        <v>5.9161486371560879E-2</v>
      </c>
      <c r="H53" s="31">
        <f t="shared" si="47"/>
        <v>1.651691999999998E-2</v>
      </c>
      <c r="I53" s="31">
        <f ca="1">IF(Reset,1,D53/100*(C53^2+F53^2/12)*O53/1000)</f>
        <v>0.58686542528612973</v>
      </c>
      <c r="J53" s="31">
        <f ca="1">IF(Reset,1,(1-D53/100)*(C53^2+F53^2/12)*O53/1000)</f>
        <v>0.47687144859176306</v>
      </c>
      <c r="K53" s="31">
        <f t="shared" si="48"/>
        <v>4.7999999999999996E-3</v>
      </c>
      <c r="L53" s="31">
        <f t="shared" si="49"/>
        <v>3.5114863715609078E-3</v>
      </c>
      <c r="M53" s="31">
        <f t="shared" ca="1" si="78"/>
        <v>1.1477267666210145</v>
      </c>
      <c r="N53" s="28">
        <f ca="1">IF(Reset=1,150,M53*Rth_typ+$A53)</f>
        <v>119.0227100651145</v>
      </c>
      <c r="O53" s="30">
        <f t="shared" ca="1" si="50"/>
        <v>1051.3090083125496</v>
      </c>
      <c r="P53" s="30">
        <f t="shared" ca="1" si="51"/>
        <v>438.04542013022899</v>
      </c>
      <c r="Q53" s="29">
        <f t="shared" ca="1" si="52"/>
        <v>9.6785567036856417</v>
      </c>
      <c r="R53" s="139">
        <f t="shared" ca="1" si="53"/>
        <v>5.0744525547445258</v>
      </c>
      <c r="S53" s="111">
        <f t="shared" si="54"/>
        <v>0.66666666666666663</v>
      </c>
      <c r="T53" s="102">
        <f t="shared" ca="1" si="55"/>
        <v>51.124044621963741</v>
      </c>
      <c r="U53" s="157">
        <f t="shared" ca="1" si="56"/>
        <v>1201</v>
      </c>
      <c r="V53" s="163">
        <f t="shared" ca="1" si="57"/>
        <v>0.3500596250468031</v>
      </c>
      <c r="W53" s="164">
        <f t="shared" si="58"/>
        <v>5.9161486371560879E-2</v>
      </c>
      <c r="X53" s="164">
        <f t="shared" si="59"/>
        <v>1.1011279999999988E-2</v>
      </c>
      <c r="Y53" s="164">
        <f ca="1">IF(Reset,1,T53/100*(S53^2+V53^2/12)*AE53/1000)</f>
        <v>0.22007292425314401</v>
      </c>
      <c r="Z53" s="164">
        <f ca="1">IF(Reset,1,(1-T53/100)*(S53^2+V53^2/12)*AE53/1000)</f>
        <v>0.21039560749247815</v>
      </c>
      <c r="AA53" s="164">
        <f t="shared" si="60"/>
        <v>3.1999999999999997E-3</v>
      </c>
      <c r="AB53" s="164">
        <f t="shared" si="61"/>
        <v>3.5114863715609078E-3</v>
      </c>
      <c r="AC53" s="164">
        <f t="shared" ca="1" si="79"/>
        <v>0.50735278448874399</v>
      </c>
      <c r="AD53" s="32">
        <f ca="1">IF(Reset=1,150,AC53*Rth_typ+$A53)</f>
        <v>97.249994672617291</v>
      </c>
      <c r="AE53" s="165">
        <f t="shared" ca="1" si="62"/>
        <v>946.79997442856302</v>
      </c>
      <c r="AF53" s="165">
        <f t="shared" ca="1" si="63"/>
        <v>394.49998934523455</v>
      </c>
      <c r="AG53" s="160">
        <f t="shared" ca="1" si="64"/>
        <v>10.104521983376173</v>
      </c>
      <c r="AH53" s="140">
        <f t="shared" ca="1" si="65"/>
        <v>5.0744525547445258</v>
      </c>
      <c r="AI53" s="113">
        <f t="shared" si="66"/>
        <v>0.33333333333333331</v>
      </c>
      <c r="AJ53" s="107">
        <f t="shared" ca="1" si="67"/>
        <v>48.123669353038004</v>
      </c>
      <c r="AK53" s="167">
        <f t="shared" ca="1" si="68"/>
        <v>1276</v>
      </c>
      <c r="AL53" s="170">
        <f t="shared" ca="1" si="69"/>
        <v>0.33036258802064433</v>
      </c>
      <c r="AM53" s="171">
        <f t="shared" si="70"/>
        <v>5.9161486371560879E-2</v>
      </c>
      <c r="AN53" s="171">
        <f t="shared" si="71"/>
        <v>5.5056399999999939E-3</v>
      </c>
      <c r="AO53" s="171">
        <f ca="1">IF(Reset,1,AJ53/100*(AI53^2+AL53^2/12)*AU53/1000)</f>
        <v>5.1652356982211149E-2</v>
      </c>
      <c r="AP53" s="171">
        <f ca="1">IF(Reset,1,(1-AJ53/100)*(AI53^2+AL53^2/12)*AU53/1000)</f>
        <v>5.5680183691872734E-2</v>
      </c>
      <c r="AQ53" s="171">
        <f t="shared" si="72"/>
        <v>1.5999999999999999E-3</v>
      </c>
      <c r="AR53" s="171">
        <f t="shared" si="73"/>
        <v>3.5114863715609078E-3</v>
      </c>
      <c r="AS53" s="171">
        <f t="shared" ca="1" si="80"/>
        <v>0.17711115341720562</v>
      </c>
      <c r="AT53" s="34">
        <f ca="1">IF(Reset=1,150,AS53*Rth_typ+$A53)</f>
        <v>86.021779216184996</v>
      </c>
      <c r="AU53" s="172">
        <f t="shared" ca="1" si="74"/>
        <v>892.90454023768802</v>
      </c>
      <c r="AV53" s="172">
        <f t="shared" ca="1" si="75"/>
        <v>372.04355843236999</v>
      </c>
      <c r="AW53" s="173">
        <f t="shared" ca="1" si="76"/>
        <v>10.445659827714559</v>
      </c>
      <c r="AX53" s="141">
        <f t="shared" ca="1" si="77"/>
        <v>5.0744525547445258</v>
      </c>
    </row>
    <row r="54" spans="1:50" s="43" customFormat="1" ht="12.75" customHeight="1" x14ac:dyDescent="0.25">
      <c r="A54" s="27">
        <f t="shared" si="40"/>
        <v>80</v>
      </c>
      <c r="B54" s="109">
        <f t="shared" si="41"/>
        <v>10.912499999999994</v>
      </c>
      <c r="C54" s="110">
        <f t="shared" si="42"/>
        <v>1</v>
      </c>
      <c r="D54" s="99">
        <f t="shared" ca="1" si="43"/>
        <v>56.382540678989223</v>
      </c>
      <c r="E54" s="155">
        <f t="shared" ca="1" si="44"/>
        <v>1070</v>
      </c>
      <c r="F54" s="100">
        <f t="shared" ca="1" si="45"/>
        <v>0.37097963510629789</v>
      </c>
      <c r="G54" s="31">
        <f t="shared" si="46"/>
        <v>5.8005365681011507E-2</v>
      </c>
      <c r="H54" s="31">
        <f t="shared" si="47"/>
        <v>1.5877687499999987E-2</v>
      </c>
      <c r="I54" s="31">
        <f ca="1">IF(Reset,1,D54/100*(C54^2+F54^2/12)*O54/1000)</f>
        <v>0.59930383666639586</v>
      </c>
      <c r="J54" s="31">
        <f ca="1">IF(Reset,1,(1-D54/100)*(C54^2+F54^2/12)*O54/1000)</f>
        <v>0.46362065990515472</v>
      </c>
      <c r="K54" s="31">
        <f t="shared" si="48"/>
        <v>4.7999999999999996E-3</v>
      </c>
      <c r="L54" s="31">
        <f t="shared" si="49"/>
        <v>3.4428656810115369E-3</v>
      </c>
      <c r="M54" s="31">
        <f t="shared" ca="1" si="78"/>
        <v>1.1450504154335734</v>
      </c>
      <c r="N54" s="28">
        <f ca="1">IF(Reset=1,150,M54*Rth_typ+$A54)</f>
        <v>118.93171412474149</v>
      </c>
      <c r="O54" s="30">
        <f t="shared" ca="1" si="50"/>
        <v>1050.872227798759</v>
      </c>
      <c r="P54" s="30">
        <f t="shared" ca="1" si="51"/>
        <v>437.86342824948298</v>
      </c>
      <c r="Q54" s="29">
        <f t="shared" ca="1" si="52"/>
        <v>9.4688798213859098</v>
      </c>
      <c r="R54" s="139">
        <f t="shared" ca="1" si="53"/>
        <v>5.0744525547445258</v>
      </c>
      <c r="S54" s="111">
        <f t="shared" si="54"/>
        <v>0.66666666666666663</v>
      </c>
      <c r="T54" s="102">
        <f t="shared" ca="1" si="55"/>
        <v>52.203409981268479</v>
      </c>
      <c r="U54" s="157">
        <f t="shared" ca="1" si="56"/>
        <v>1174</v>
      </c>
      <c r="V54" s="163">
        <f t="shared" ca="1" si="57"/>
        <v>0.34454816306222585</v>
      </c>
      <c r="W54" s="164">
        <f t="shared" si="58"/>
        <v>5.8005365681011507E-2</v>
      </c>
      <c r="X54" s="164">
        <f t="shared" si="59"/>
        <v>1.058512499999999E-2</v>
      </c>
      <c r="Y54" s="164">
        <f ca="1">IF(Reset,1,T54/100*(S54^2+V54^2/12)*AE54/1000)</f>
        <v>0.22447992216791582</v>
      </c>
      <c r="Z54" s="164">
        <f ca="1">IF(Reset,1,(1-T54/100)*(S54^2+V54^2/12)*AE54/1000)</f>
        <v>0.20553015236258559</v>
      </c>
      <c r="AA54" s="164">
        <f t="shared" si="60"/>
        <v>3.1999999999999997E-3</v>
      </c>
      <c r="AB54" s="164">
        <f t="shared" si="61"/>
        <v>3.4428656810115369E-3</v>
      </c>
      <c r="AC54" s="164">
        <f t="shared" ca="1" si="79"/>
        <v>0.50524343089252444</v>
      </c>
      <c r="AD54" s="32">
        <f ca="1">IF(Reset=1,150,AC54*Rth_typ+$A54)</f>
        <v>97.178276650345822</v>
      </c>
      <c r="AE54" s="165">
        <f t="shared" ca="1" si="62"/>
        <v>946.4557279216599</v>
      </c>
      <c r="AF54" s="165">
        <f t="shared" ca="1" si="63"/>
        <v>394.35655330069164</v>
      </c>
      <c r="AG54" s="160">
        <f t="shared" ca="1" si="64"/>
        <v>9.8946419293436296</v>
      </c>
      <c r="AH54" s="140">
        <f t="shared" ca="1" si="65"/>
        <v>5.0744525547445258</v>
      </c>
      <c r="AI54" s="113">
        <f t="shared" si="66"/>
        <v>0.33333333333333331</v>
      </c>
      <c r="AJ54" s="107">
        <f t="shared" ca="1" si="67"/>
        <v>49.10889768723424</v>
      </c>
      <c r="AK54" s="167">
        <f t="shared" ca="1" si="68"/>
        <v>1252</v>
      </c>
      <c r="AL54" s="170">
        <f t="shared" ca="1" si="69"/>
        <v>0.32498848979140976</v>
      </c>
      <c r="AM54" s="171">
        <f t="shared" si="70"/>
        <v>5.8005365681011507E-2</v>
      </c>
      <c r="AN54" s="171">
        <f t="shared" si="71"/>
        <v>5.2925624999999952E-3</v>
      </c>
      <c r="AO54" s="171">
        <f ca="1">IF(Reset,1,AJ54/100*(AI54^2+AL54^2/12)*AU54/1000)</f>
        <v>5.2564469265058533E-2</v>
      </c>
      <c r="AP54" s="171">
        <f ca="1">IF(Reset,1,(1-AJ54/100)*(AI54^2+AL54^2/12)*AU54/1000)</f>
        <v>5.4472079589758388E-2</v>
      </c>
      <c r="AQ54" s="171">
        <f t="shared" si="72"/>
        <v>1.5999999999999999E-3</v>
      </c>
      <c r="AR54" s="171">
        <f t="shared" si="73"/>
        <v>3.4428656810115369E-3</v>
      </c>
      <c r="AS54" s="171">
        <f t="shared" ca="1" si="80"/>
        <v>0.17537734271683997</v>
      </c>
      <c r="AT54" s="34">
        <f ca="1">IF(Reset=1,150,AS54*Rth_typ+$A54)</f>
        <v>85.962829652372562</v>
      </c>
      <c r="AU54" s="172">
        <f t="shared" ca="1" si="74"/>
        <v>892.62158233138825</v>
      </c>
      <c r="AV54" s="172">
        <f t="shared" ca="1" si="75"/>
        <v>371.92565930474512</v>
      </c>
      <c r="AW54" s="173">
        <f t="shared" ca="1" si="76"/>
        <v>10.235647276350498</v>
      </c>
      <c r="AX54" s="141">
        <f t="shared" ca="1" si="77"/>
        <v>5.0744525547445258</v>
      </c>
    </row>
    <row r="55" spans="1:50" s="43" customFormat="1" ht="12.75" customHeight="1" x14ac:dyDescent="0.25">
      <c r="A55" s="27">
        <f t="shared" si="40"/>
        <v>80</v>
      </c>
      <c r="B55" s="109">
        <f t="shared" si="41"/>
        <v>10.694999999999995</v>
      </c>
      <c r="C55" s="110">
        <f t="shared" si="42"/>
        <v>1</v>
      </c>
      <c r="D55" s="99">
        <f t="shared" ca="1" si="43"/>
        <v>57.649489646192379</v>
      </c>
      <c r="E55" s="155">
        <f t="shared" ca="1" si="44"/>
        <v>1038</v>
      </c>
      <c r="F55" s="100">
        <f t="shared" ca="1" si="45"/>
        <v>0.36506799013229285</v>
      </c>
      <c r="G55" s="31">
        <f t="shared" si="46"/>
        <v>5.6849244990462143E-2</v>
      </c>
      <c r="H55" s="31">
        <f t="shared" si="47"/>
        <v>1.5251069999999985E-2</v>
      </c>
      <c r="I55" s="31">
        <f ca="1">IF(Reset,1,D55/100*(C55^2+F55^2/12)*O55/1000)</f>
        <v>0.61229653859906907</v>
      </c>
      <c r="J55" s="31">
        <f ca="1">IF(Reset,1,(1-D55/100)*(C55^2+F55^2/12)*O55/1000)</f>
        <v>0.44980573213544722</v>
      </c>
      <c r="K55" s="31">
        <f t="shared" si="48"/>
        <v>4.7999999999999996E-3</v>
      </c>
      <c r="L55" s="31">
        <f t="shared" si="49"/>
        <v>3.374244990462166E-3</v>
      </c>
      <c r="M55" s="31">
        <f t="shared" ca="1" si="78"/>
        <v>1.1423768307154405</v>
      </c>
      <c r="N55" s="28">
        <f ca="1">IF(Reset=1,150,M55*Rth_typ+$A55)</f>
        <v>118.84081224432498</v>
      </c>
      <c r="O55" s="30">
        <f t="shared" ca="1" si="50"/>
        <v>1050.4358987727599</v>
      </c>
      <c r="P55" s="30">
        <f t="shared" ca="1" si="51"/>
        <v>437.68162448864996</v>
      </c>
      <c r="Q55" s="29">
        <f t="shared" ca="1" si="52"/>
        <v>9.2592024965528967</v>
      </c>
      <c r="R55" s="139">
        <f t="shared" ca="1" si="53"/>
        <v>5.0744525547445258</v>
      </c>
      <c r="S55" s="111">
        <f t="shared" si="54"/>
        <v>0.66666666666666663</v>
      </c>
      <c r="T55" s="102">
        <f t="shared" ca="1" si="55"/>
        <v>53.32937955571505</v>
      </c>
      <c r="U55" s="157">
        <f t="shared" ca="1" si="56"/>
        <v>1146</v>
      </c>
      <c r="V55" s="163">
        <f t="shared" ca="1" si="57"/>
        <v>0.33879924170305648</v>
      </c>
      <c r="W55" s="164">
        <f t="shared" si="58"/>
        <v>5.6849244990462143E-2</v>
      </c>
      <c r="X55" s="164">
        <f t="shared" si="59"/>
        <v>1.016737999999999E-2</v>
      </c>
      <c r="Y55" s="164">
        <f ca="1">IF(Reset,1,T55/100*(S55^2+V55^2/12)*AE55/1000)</f>
        <v>0.22907314734606044</v>
      </c>
      <c r="Z55" s="164">
        <f ca="1">IF(Reset,1,(1-T55/100)*(S55^2+V55^2/12)*AE55/1000)</f>
        <v>0.20047084745466617</v>
      </c>
      <c r="AA55" s="164">
        <f t="shared" si="60"/>
        <v>3.1999999999999997E-3</v>
      </c>
      <c r="AB55" s="164">
        <f t="shared" si="61"/>
        <v>3.374244990462166E-3</v>
      </c>
      <c r="AC55" s="164">
        <f t="shared" ca="1" si="79"/>
        <v>0.50313486478165081</v>
      </c>
      <c r="AD55" s="32">
        <f ca="1">IF(Reset=1,150,AC55*Rth_typ+$A55)</f>
        <v>97.10658540257613</v>
      </c>
      <c r="AE55" s="165">
        <f t="shared" ca="1" si="62"/>
        <v>946.11160993236535</v>
      </c>
      <c r="AF55" s="165">
        <f t="shared" ca="1" si="63"/>
        <v>394.21317080515223</v>
      </c>
      <c r="AG55" s="160">
        <f t="shared" ca="1" si="64"/>
        <v>9.684761791331967</v>
      </c>
      <c r="AH55" s="140">
        <f t="shared" ca="1" si="65"/>
        <v>5.0744525547445258</v>
      </c>
      <c r="AI55" s="113">
        <f t="shared" si="66"/>
        <v>0.33333333333333331</v>
      </c>
      <c r="AJ55" s="107">
        <f t="shared" ca="1" si="67"/>
        <v>50.135325899710168</v>
      </c>
      <c r="AK55" s="167">
        <f t="shared" ca="1" si="68"/>
        <v>1226</v>
      </c>
      <c r="AL55" s="170">
        <f t="shared" ca="1" si="69"/>
        <v>0.31938984760444533</v>
      </c>
      <c r="AM55" s="171">
        <f t="shared" si="70"/>
        <v>5.6849244990462143E-2</v>
      </c>
      <c r="AN55" s="171">
        <f t="shared" si="71"/>
        <v>5.0836899999999949E-3</v>
      </c>
      <c r="AO55" s="171">
        <f ca="1">IF(Reset,1,AJ55/100*(AI55^2+AL55^2/12)*AU55/1000)</f>
        <v>5.3511593549092983E-2</v>
      </c>
      <c r="AP55" s="171">
        <f ca="1">IF(Reset,1,(1-AJ55/100)*(AI55^2+AL55^2/12)*AU55/1000)</f>
        <v>5.3222715221805696E-2</v>
      </c>
      <c r="AQ55" s="171">
        <f t="shared" si="72"/>
        <v>1.5999999999999999E-3</v>
      </c>
      <c r="AR55" s="171">
        <f t="shared" si="73"/>
        <v>3.374244990462166E-3</v>
      </c>
      <c r="AS55" s="171">
        <f t="shared" ca="1" si="80"/>
        <v>0.17364148875182295</v>
      </c>
      <c r="AT55" s="34">
        <f ca="1">IF(Reset=1,150,AS55*Rth_typ+$A55)</f>
        <v>85.903810617561987</v>
      </c>
      <c r="AU55" s="172">
        <f t="shared" ca="1" si="74"/>
        <v>892.33829096429758</v>
      </c>
      <c r="AV55" s="172">
        <f t="shared" ca="1" si="75"/>
        <v>371.80762123512397</v>
      </c>
      <c r="AW55" s="173">
        <f t="shared" ca="1" si="76"/>
        <v>10.025634833935493</v>
      </c>
      <c r="AX55" s="141">
        <f t="shared" ca="1" si="77"/>
        <v>5.0744525547445258</v>
      </c>
    </row>
    <row r="56" spans="1:50" s="43" customFormat="1" ht="12.75" customHeight="1" x14ac:dyDescent="0.25">
      <c r="A56" s="27">
        <f t="shared" si="40"/>
        <v>80</v>
      </c>
      <c r="B56" s="109">
        <f t="shared" si="41"/>
        <v>10.477499999999996</v>
      </c>
      <c r="C56" s="110">
        <f t="shared" si="42"/>
        <v>1</v>
      </c>
      <c r="D56" s="99">
        <f t="shared" ca="1" si="43"/>
        <v>58.974784708223552</v>
      </c>
      <c r="E56" s="155">
        <f t="shared" ca="1" si="44"/>
        <v>1005</v>
      </c>
      <c r="F56" s="100">
        <f t="shared" ca="1" si="45"/>
        <v>0.35888516383240165</v>
      </c>
      <c r="G56" s="31">
        <f t="shared" si="46"/>
        <v>5.5693124299912772E-2</v>
      </c>
      <c r="H56" s="31">
        <f t="shared" si="47"/>
        <v>1.4637067499999988E-2</v>
      </c>
      <c r="I56" s="31">
        <f ca="1">IF(Reset,1,D56/100*(C56^2+F56^2/12)*O56/1000)</f>
        <v>0.62588160101860968</v>
      </c>
      <c r="J56" s="31">
        <f ca="1">IF(Reset,1,(1-D56/100)*(C56^2+F56^2/12)*O56/1000)</f>
        <v>0.43538823509040731</v>
      </c>
      <c r="K56" s="31">
        <f t="shared" si="48"/>
        <v>4.7999999999999996E-3</v>
      </c>
      <c r="L56" s="31">
        <f t="shared" si="49"/>
        <v>3.305624299912796E-3</v>
      </c>
      <c r="M56" s="31">
        <f t="shared" ca="1" si="78"/>
        <v>1.1397056522088425</v>
      </c>
      <c r="N56" s="28">
        <f ca="1">IF(Reset=1,150,M56*Rth_typ+$A56)</f>
        <v>118.74999217510064</v>
      </c>
      <c r="O56" s="30">
        <f t="shared" ca="1" si="50"/>
        <v>1049.9999624404832</v>
      </c>
      <c r="P56" s="30">
        <f t="shared" ca="1" si="51"/>
        <v>437.49998435020132</v>
      </c>
      <c r="Q56" s="29">
        <f t="shared" ca="1" si="52"/>
        <v>9.0495247868145832</v>
      </c>
      <c r="R56" s="139">
        <f t="shared" ca="1" si="53"/>
        <v>5.0744525547445258</v>
      </c>
      <c r="S56" s="111">
        <f t="shared" si="54"/>
        <v>0.66666666666666663</v>
      </c>
      <c r="T56" s="102">
        <f t="shared" ca="1" si="55"/>
        <v>54.505038093539547</v>
      </c>
      <c r="U56" s="157">
        <f t="shared" ca="1" si="56"/>
        <v>1117</v>
      </c>
      <c r="V56" s="163">
        <f t="shared" ca="1" si="57"/>
        <v>0.33279714094517765</v>
      </c>
      <c r="W56" s="164">
        <f t="shared" si="58"/>
        <v>5.5693124299912772E-2</v>
      </c>
      <c r="X56" s="164">
        <f t="shared" si="59"/>
        <v>9.7580449999999912E-3</v>
      </c>
      <c r="Y56" s="164">
        <f ca="1">IF(Reset,1,T56/100*(S56^2+V56^2/12)*AE56/1000)</f>
        <v>0.23386482597476962</v>
      </c>
      <c r="Z56" s="164">
        <f ca="1">IF(Reset,1,(1-T56/100)*(S56^2+V56^2/12)*AE56/1000)</f>
        <v>0.19520528232131007</v>
      </c>
      <c r="AA56" s="164">
        <f t="shared" si="60"/>
        <v>3.1999999999999997E-3</v>
      </c>
      <c r="AB56" s="164">
        <f t="shared" si="61"/>
        <v>3.305624299912796E-3</v>
      </c>
      <c r="AC56" s="164">
        <f t="shared" ca="1" si="79"/>
        <v>0.50102690189590526</v>
      </c>
      <c r="AD56" s="32">
        <f ca="1">IF(Reset=1,150,AC56*Rth_typ+$A56)</f>
        <v>97.034914664460786</v>
      </c>
      <c r="AE56" s="165">
        <f t="shared" ca="1" si="62"/>
        <v>945.76759038941168</v>
      </c>
      <c r="AF56" s="165">
        <f t="shared" ca="1" si="63"/>
        <v>394.06982932892157</v>
      </c>
      <c r="AG56" s="160">
        <f t="shared" ca="1" si="64"/>
        <v>9.4748815889910922</v>
      </c>
      <c r="AH56" s="140">
        <f t="shared" ca="1" si="65"/>
        <v>5.0744525547445258</v>
      </c>
      <c r="AI56" s="113">
        <f t="shared" si="66"/>
        <v>0.33333333333333331</v>
      </c>
      <c r="AJ56" s="107">
        <f t="shared" ca="1" si="67"/>
        <v>51.205593476210964</v>
      </c>
      <c r="AK56" s="167">
        <f t="shared" ca="1" si="68"/>
        <v>1199</v>
      </c>
      <c r="AL56" s="170">
        <f t="shared" ca="1" si="69"/>
        <v>0.31355227571132188</v>
      </c>
      <c r="AM56" s="171">
        <f t="shared" si="70"/>
        <v>5.5693124299912772E-2</v>
      </c>
      <c r="AN56" s="171">
        <f t="shared" si="71"/>
        <v>4.8790224999999956E-3</v>
      </c>
      <c r="AO56" s="171">
        <f ca="1">IF(Reset,1,AJ56/100*(AI56^2+AL56^2/12)*AU56/1000)</f>
        <v>5.4495918881013176E-2</v>
      </c>
      <c r="AP56" s="171">
        <f ca="1">IF(Reset,1,(1-AJ56/100)*(AI56^2+AL56^2/12)*AU56/1000)</f>
        <v>5.1929795931433688E-2</v>
      </c>
      <c r="AQ56" s="171">
        <f t="shared" si="72"/>
        <v>1.5999999999999999E-3</v>
      </c>
      <c r="AR56" s="171">
        <f t="shared" si="73"/>
        <v>3.305624299912796E-3</v>
      </c>
      <c r="AS56" s="171">
        <f t="shared" ca="1" si="80"/>
        <v>0.17190348591227242</v>
      </c>
      <c r="AT56" s="34">
        <f ca="1">IF(Reset=1,150,AS56*Rth_typ+$A56)</f>
        <v>85.844718521017256</v>
      </c>
      <c r="AU56" s="172">
        <f t="shared" ca="1" si="74"/>
        <v>892.05464890088274</v>
      </c>
      <c r="AV56" s="172">
        <f t="shared" ca="1" si="75"/>
        <v>371.68943704203451</v>
      </c>
      <c r="AW56" s="173">
        <f t="shared" ca="1" si="76"/>
        <v>9.815622506100766</v>
      </c>
      <c r="AX56" s="141">
        <f t="shared" ca="1" si="77"/>
        <v>5.0744525547445258</v>
      </c>
    </row>
    <row r="57" spans="1:50" s="43" customFormat="1" ht="12.75" customHeight="1" x14ac:dyDescent="0.25">
      <c r="A57" s="27">
        <f t="shared" si="40"/>
        <v>80</v>
      </c>
      <c r="B57" s="109">
        <f t="shared" si="41"/>
        <v>10.259999999999996</v>
      </c>
      <c r="C57" s="110">
        <f t="shared" si="42"/>
        <v>1</v>
      </c>
      <c r="D57" s="99">
        <f t="shared" ca="1" si="43"/>
        <v>60.362550550849676</v>
      </c>
      <c r="E57" s="155">
        <f t="shared" ca="1" si="44"/>
        <v>970</v>
      </c>
      <c r="F57" s="100">
        <f t="shared" ca="1" si="45"/>
        <v>0.35241197741675656</v>
      </c>
      <c r="G57" s="31">
        <f t="shared" si="46"/>
        <v>5.4537003609363408E-2</v>
      </c>
      <c r="H57" s="31">
        <f t="shared" si="47"/>
        <v>1.4035679999999991E-2</v>
      </c>
      <c r="I57" s="31">
        <f ca="1">IF(Reset,1,D57/100*(C57^2+F57^2/12)*O57/1000)</f>
        <v>0.64010069114546264</v>
      </c>
      <c r="J57" s="31">
        <f ca="1">IF(Reset,1,(1-D57/100)*(C57^2+F57^2/12)*O57/1000)</f>
        <v>0.42032615514268251</v>
      </c>
      <c r="K57" s="31">
        <f t="shared" si="48"/>
        <v>4.7999999999999996E-3</v>
      </c>
      <c r="L57" s="31">
        <f t="shared" si="49"/>
        <v>3.2370036093634252E-3</v>
      </c>
      <c r="M57" s="31">
        <f t="shared" ca="1" si="78"/>
        <v>1.1370365335068719</v>
      </c>
      <c r="N57" s="28">
        <f ca="1">IF(Reset=1,150,M57*Rth_typ+$A57)</f>
        <v>118.65924213923364</v>
      </c>
      <c r="O57" s="30">
        <f t="shared" ca="1" si="50"/>
        <v>1049.5643622683215</v>
      </c>
      <c r="P57" s="30">
        <f t="shared" ca="1" si="51"/>
        <v>437.31848427846728</v>
      </c>
      <c r="Q57" s="29">
        <f t="shared" ca="1" si="52"/>
        <v>8.83984674758333</v>
      </c>
      <c r="R57" s="139">
        <f t="shared" ca="1" si="53"/>
        <v>5.0744525547445258</v>
      </c>
      <c r="S57" s="111">
        <f t="shared" si="54"/>
        <v>0.66666666666666663</v>
      </c>
      <c r="T57" s="102">
        <f t="shared" ca="1" si="55"/>
        <v>55.733748753504983</v>
      </c>
      <c r="U57" s="157">
        <f t="shared" ca="1" si="56"/>
        <v>1086</v>
      </c>
      <c r="V57" s="163">
        <f t="shared" ca="1" si="57"/>
        <v>0.32652472227215629</v>
      </c>
      <c r="W57" s="164">
        <f t="shared" si="58"/>
        <v>5.4537003609363408E-2</v>
      </c>
      <c r="X57" s="164">
        <f t="shared" si="59"/>
        <v>9.3571199999999931E-3</v>
      </c>
      <c r="Y57" s="164">
        <f ca="1">IF(Reset,1,T57/100*(S57^2+V57^2/12)*AE57/1000)</f>
        <v>0.23886829726692418</v>
      </c>
      <c r="Z57" s="164">
        <f ca="1">IF(Reset,1,(1-T57/100)*(S57^2+V57^2/12)*AE57/1000)</f>
        <v>0.18971995062462327</v>
      </c>
      <c r="AA57" s="164">
        <f t="shared" si="60"/>
        <v>3.1999999999999997E-3</v>
      </c>
      <c r="AB57" s="164">
        <f t="shared" si="61"/>
        <v>3.2370036093634252E-3</v>
      </c>
      <c r="AC57" s="164">
        <f t="shared" ca="1" si="79"/>
        <v>0.49891937511027423</v>
      </c>
      <c r="AD57" s="32">
        <f ca="1">IF(Reset=1,150,AC57*Rth_typ+$A57)</f>
        <v>96.963258753749329</v>
      </c>
      <c r="AE57" s="165">
        <f t="shared" ca="1" si="62"/>
        <v>945.42364201799683</v>
      </c>
      <c r="AF57" s="165">
        <f t="shared" ca="1" si="63"/>
        <v>393.92651750749866</v>
      </c>
      <c r="AG57" s="160">
        <f t="shared" ca="1" si="64"/>
        <v>9.2650013401435682</v>
      </c>
      <c r="AH57" s="140">
        <f t="shared" ca="1" si="65"/>
        <v>5.0744525547445258</v>
      </c>
      <c r="AI57" s="113">
        <f t="shared" si="66"/>
        <v>0.33333333333333331</v>
      </c>
      <c r="AJ57" s="107">
        <f t="shared" ca="1" si="67"/>
        <v>52.322570300119104</v>
      </c>
      <c r="AK57" s="167">
        <f t="shared" ca="1" si="68"/>
        <v>1171</v>
      </c>
      <c r="AL57" s="170">
        <f t="shared" ca="1" si="69"/>
        <v>0.30746013277715217</v>
      </c>
      <c r="AM57" s="171">
        <f t="shared" si="70"/>
        <v>5.4537003609363408E-2</v>
      </c>
      <c r="AN57" s="171">
        <f t="shared" si="71"/>
        <v>4.6785599999999965E-3</v>
      </c>
      <c r="AO57" s="171">
        <f ca="1">IF(Reset,1,AJ57/100*(AI57^2+AL57^2/12)*AU57/1000)</f>
        <v>5.5519834562529111E-2</v>
      </c>
      <c r="AP57" s="171">
        <f ca="1">IF(Reset,1,(1-AJ57/100)*(AI57^2+AL57^2/12)*AU57/1000)</f>
        <v>5.0590844335832892E-2</v>
      </c>
      <c r="AQ57" s="171">
        <f t="shared" si="72"/>
        <v>1.5999999999999999E-3</v>
      </c>
      <c r="AR57" s="171">
        <f t="shared" si="73"/>
        <v>3.2370036093634252E-3</v>
      </c>
      <c r="AS57" s="171">
        <f t="shared" ca="1" si="80"/>
        <v>0.17016324611708883</v>
      </c>
      <c r="AT57" s="34">
        <f ca="1">IF(Reset=1,150,AS57*Rth_typ+$A57)</f>
        <v>85.785550367981017</v>
      </c>
      <c r="AU57" s="172">
        <f t="shared" ca="1" si="74"/>
        <v>891.77064176630893</v>
      </c>
      <c r="AV57" s="172">
        <f t="shared" ca="1" si="75"/>
        <v>371.57110073596203</v>
      </c>
      <c r="AW57" s="173">
        <f t="shared" ca="1" si="76"/>
        <v>9.6056102975429045</v>
      </c>
      <c r="AX57" s="141">
        <f t="shared" ca="1" si="77"/>
        <v>5.0744525547445258</v>
      </c>
    </row>
    <row r="58" spans="1:50" s="43" customFormat="1" ht="12.75" customHeight="1" x14ac:dyDescent="0.25">
      <c r="A58" s="27">
        <f t="shared" si="40"/>
        <v>80</v>
      </c>
      <c r="B58" s="109">
        <f t="shared" si="41"/>
        <v>10.042499999999997</v>
      </c>
      <c r="C58" s="110">
        <f t="shared" si="42"/>
        <v>1</v>
      </c>
      <c r="D58" s="99">
        <f t="shared" ca="1" si="43"/>
        <v>61.817310095077204</v>
      </c>
      <c r="E58" s="155">
        <f t="shared" ca="1" si="44"/>
        <v>934</v>
      </c>
      <c r="F58" s="100">
        <f t="shared" ca="1" si="45"/>
        <v>0.34562740109130657</v>
      </c>
      <c r="G58" s="31">
        <f t="shared" si="46"/>
        <v>5.3380882918814043E-2</v>
      </c>
      <c r="H58" s="31">
        <f t="shared" si="47"/>
        <v>1.3446907499999992E-2</v>
      </c>
      <c r="I58" s="31">
        <f ca="1">IF(Reset,1,D58/100*(C58^2+F58^2/12)*O58/1000)</f>
        <v>0.65499951242310461</v>
      </c>
      <c r="J58" s="31">
        <f ca="1">IF(Reset,1,(1-D58/100)*(C58^2+F58^2/12)*O58/1000)</f>
        <v>0.40457346384469522</v>
      </c>
      <c r="K58" s="31">
        <f t="shared" si="48"/>
        <v>4.7999999999999996E-3</v>
      </c>
      <c r="L58" s="31">
        <f t="shared" si="49"/>
        <v>3.1683829188140543E-3</v>
      </c>
      <c r="M58" s="31">
        <f t="shared" ca="1" si="78"/>
        <v>1.1343691496054278</v>
      </c>
      <c r="N58" s="28">
        <f ca="1">IF(Reset=1,150,M58*Rth_typ+$A58)</f>
        <v>118.56855108658453</v>
      </c>
      <c r="O58" s="30">
        <f t="shared" ca="1" si="50"/>
        <v>1049.1290452156059</v>
      </c>
      <c r="P58" s="30">
        <f t="shared" ca="1" si="51"/>
        <v>437.13710217316907</v>
      </c>
      <c r="Q58" s="29">
        <f t="shared" ca="1" si="52"/>
        <v>8.630168430847835</v>
      </c>
      <c r="R58" s="139">
        <f t="shared" ca="1" si="53"/>
        <v>5.0744525547445258</v>
      </c>
      <c r="S58" s="111">
        <f t="shared" si="54"/>
        <v>0.66666666666666663</v>
      </c>
      <c r="T58" s="102">
        <f t="shared" ca="1" si="55"/>
        <v>57.019185245475526</v>
      </c>
      <c r="U58" s="157">
        <f t="shared" ca="1" si="56"/>
        <v>1054</v>
      </c>
      <c r="V58" s="163">
        <f t="shared" ca="1" si="57"/>
        <v>0.31996326498275146</v>
      </c>
      <c r="W58" s="164">
        <f t="shared" si="58"/>
        <v>5.3380882918814043E-2</v>
      </c>
      <c r="X58" s="164">
        <f t="shared" si="59"/>
        <v>8.9646049999999953E-3</v>
      </c>
      <c r="Y58" s="164">
        <f ca="1">IF(Reset,1,T58/100*(S58^2+V58^2/12)*AE58/1000)</f>
        <v>0.24409814534563642</v>
      </c>
      <c r="Z58" s="164">
        <f ca="1">IF(Reset,1,(1-T58/100)*(S58^2+V58^2/12)*AE58/1000)</f>
        <v>0.18400012420128881</v>
      </c>
      <c r="AA58" s="164">
        <f t="shared" si="60"/>
        <v>3.1999999999999997E-3</v>
      </c>
      <c r="AB58" s="164">
        <f t="shared" si="61"/>
        <v>3.1683829188140543E-3</v>
      </c>
      <c r="AC58" s="164">
        <f t="shared" ca="1" si="79"/>
        <v>0.49681214038455329</v>
      </c>
      <c r="AD58" s="32">
        <f ca="1">IF(Reset=1,150,AC58*Rth_typ+$A58)</f>
        <v>96.891612773074812</v>
      </c>
      <c r="AE58" s="165">
        <f t="shared" ca="1" si="62"/>
        <v>945.07974131075912</v>
      </c>
      <c r="AF58" s="165">
        <f t="shared" ca="1" si="63"/>
        <v>393.78322554614965</v>
      </c>
      <c r="AG58" s="160">
        <f t="shared" ca="1" si="64"/>
        <v>9.0551210601501566</v>
      </c>
      <c r="AH58" s="140">
        <f t="shared" ca="1" si="65"/>
        <v>5.0744525547445258</v>
      </c>
      <c r="AI58" s="113">
        <f t="shared" si="66"/>
        <v>0.33333333333333331</v>
      </c>
      <c r="AJ58" s="107">
        <f t="shared" ca="1" si="67"/>
        <v>53.489382354454051</v>
      </c>
      <c r="AK58" s="167">
        <f t="shared" ca="1" si="68"/>
        <v>1142</v>
      </c>
      <c r="AL58" s="170">
        <f t="shared" ca="1" si="69"/>
        <v>0.30109638183811727</v>
      </c>
      <c r="AM58" s="171">
        <f t="shared" si="70"/>
        <v>5.3380882918814043E-2</v>
      </c>
      <c r="AN58" s="171">
        <f t="shared" si="71"/>
        <v>4.4823024999999976E-3</v>
      </c>
      <c r="AO58" s="171">
        <f ca="1">IF(Reset,1,AJ58/100*(AI58^2+AL58^2/12)*AU58/1000)</f>
        <v>5.6585955162192704E-2</v>
      </c>
      <c r="AP58" s="171">
        <f ca="1">IF(Reset,1,(1-AJ58/100)*(AI58^2+AL58^2/12)*AU58/1000)</f>
        <v>4.9203180310000309E-2</v>
      </c>
      <c r="AQ58" s="171">
        <f t="shared" si="72"/>
        <v>1.5999999999999999E-3</v>
      </c>
      <c r="AR58" s="171">
        <f t="shared" si="73"/>
        <v>3.1683829188140543E-3</v>
      </c>
      <c r="AS58" s="171">
        <f t="shared" ca="1" si="80"/>
        <v>0.1684207038098211</v>
      </c>
      <c r="AT58" s="34">
        <f ca="1">IF(Reset=1,150,AS58*Rth_typ+$A58)</f>
        <v>85.726303929533913</v>
      </c>
      <c r="AU58" s="172">
        <f t="shared" ca="1" si="74"/>
        <v>891.48625886176274</v>
      </c>
      <c r="AV58" s="172">
        <f t="shared" ca="1" si="75"/>
        <v>371.45260785906783</v>
      </c>
      <c r="AW58" s="173">
        <f t="shared" ca="1" si="76"/>
        <v>9.3955982117574397</v>
      </c>
      <c r="AX58" s="141">
        <f t="shared" ca="1" si="77"/>
        <v>5.0744525547445258</v>
      </c>
    </row>
    <row r="59" spans="1:50" s="43" customFormat="1" ht="12.75" customHeight="1" x14ac:dyDescent="0.25">
      <c r="A59" s="27">
        <f t="shared" si="40"/>
        <v>80</v>
      </c>
      <c r="B59" s="109">
        <f t="shared" si="41"/>
        <v>9.8249999999999975</v>
      </c>
      <c r="C59" s="110">
        <f t="shared" si="42"/>
        <v>1</v>
      </c>
      <c r="D59" s="99">
        <f t="shared" ca="1" si="43"/>
        <v>63.344033764544584</v>
      </c>
      <c r="E59" s="155">
        <f t="shared" ca="1" si="44"/>
        <v>896</v>
      </c>
      <c r="F59" s="100">
        <f t="shared" ca="1" si="45"/>
        <v>0.33850832522865809</v>
      </c>
      <c r="G59" s="31">
        <f t="shared" si="46"/>
        <v>5.2224762228264672E-2</v>
      </c>
      <c r="H59" s="31">
        <f t="shared" si="47"/>
        <v>1.2870749999999995E-2</v>
      </c>
      <c r="I59" s="31">
        <f ca="1">IF(Reset,1,D59/100*(C59^2+F59^2/12)*O59/1000)</f>
        <v>0.67062830992035971</v>
      </c>
      <c r="J59" s="31">
        <f ca="1">IF(Reset,1,(1-D59/100)*(C59^2+F59^2/12)*O59/1000)</f>
        <v>0.38807962208969338</v>
      </c>
      <c r="K59" s="31">
        <f t="shared" si="48"/>
        <v>4.7999999999999996E-3</v>
      </c>
      <c r="L59" s="31">
        <f t="shared" si="49"/>
        <v>3.0997622282646839E-3</v>
      </c>
      <c r="M59" s="31">
        <f t="shared" ca="1" si="78"/>
        <v>1.1317032064665824</v>
      </c>
      <c r="N59" s="28">
        <f ca="1">IF(Reset=1,150,M59*Rth_typ+$A59)</f>
        <v>118.4779090198638</v>
      </c>
      <c r="O59" s="30">
        <f t="shared" ca="1" si="50"/>
        <v>1048.6939632953463</v>
      </c>
      <c r="P59" s="30">
        <f t="shared" ca="1" si="51"/>
        <v>436.9558180397276</v>
      </c>
      <c r="Q59" s="29">
        <f t="shared" ca="1" si="52"/>
        <v>8.4204898836433433</v>
      </c>
      <c r="R59" s="139">
        <f t="shared" ca="1" si="53"/>
        <v>5.0744525547445258</v>
      </c>
      <c r="S59" s="111">
        <f t="shared" si="54"/>
        <v>0.66666666666666663</v>
      </c>
      <c r="T59" s="102">
        <f t="shared" ca="1" si="55"/>
        <v>58.365368529993312</v>
      </c>
      <c r="U59" s="157">
        <f t="shared" ca="1" si="56"/>
        <v>1020</v>
      </c>
      <c r="V59" s="163">
        <f t="shared" ca="1" si="57"/>
        <v>0.31309227929245997</v>
      </c>
      <c r="W59" s="164">
        <f t="shared" si="58"/>
        <v>5.2224762228264672E-2</v>
      </c>
      <c r="X59" s="164">
        <f t="shared" si="59"/>
        <v>8.5804999999999961E-3</v>
      </c>
      <c r="Y59" s="164">
        <f ca="1">IF(Reset,1,T59/100*(S59^2+V59^2/12)*AE59/1000)</f>
        <v>0.24957035066366032</v>
      </c>
      <c r="Z59" s="164">
        <f ca="1">IF(Reset,1,(1-T59/100)*(S59^2+V59^2/12)*AE59/1000)</f>
        <v>0.17802970901112597</v>
      </c>
      <c r="AA59" s="164">
        <f t="shared" si="60"/>
        <v>3.1999999999999997E-3</v>
      </c>
      <c r="AB59" s="164">
        <f t="shared" si="61"/>
        <v>3.0997622282646839E-3</v>
      </c>
      <c r="AC59" s="164">
        <f t="shared" ca="1" si="79"/>
        <v>0.49470508413131564</v>
      </c>
      <c r="AD59" s="32">
        <f ca="1">IF(Reset=1,150,AC59*Rth_typ+$A59)</f>
        <v>96.819972860464731</v>
      </c>
      <c r="AE59" s="165">
        <f t="shared" ca="1" si="62"/>
        <v>944.73586973023066</v>
      </c>
      <c r="AF59" s="165">
        <f t="shared" ca="1" si="63"/>
        <v>393.63994572092946</v>
      </c>
      <c r="AG59" s="160">
        <f t="shared" ca="1" si="64"/>
        <v>8.8452407611240549</v>
      </c>
      <c r="AH59" s="140">
        <f t="shared" ca="1" si="65"/>
        <v>5.0744525547445258</v>
      </c>
      <c r="AI59" s="113">
        <f t="shared" si="66"/>
        <v>0.33333333333333331</v>
      </c>
      <c r="AJ59" s="107">
        <f t="shared" ca="1" si="67"/>
        <v>54.709440943464259</v>
      </c>
      <c r="AK59" s="167">
        <f t="shared" ca="1" si="68"/>
        <v>1112</v>
      </c>
      <c r="AL59" s="170">
        <f t="shared" ca="1" si="69"/>
        <v>0.29444243108660184</v>
      </c>
      <c r="AM59" s="171">
        <f t="shared" si="70"/>
        <v>5.2224762228264672E-2</v>
      </c>
      <c r="AN59" s="171">
        <f t="shared" si="71"/>
        <v>4.2902499999999981E-3</v>
      </c>
      <c r="AO59" s="171">
        <f ca="1">IF(Reset,1,AJ59/100*(AI59^2+AL59^2/12)*AU59/1000)</f>
        <v>5.7697149558868469E-2</v>
      </c>
      <c r="AP59" s="171">
        <f ca="1">IF(Reset,1,(1-AJ59/100)*(AI59^2+AL59^2/12)*AU59/1000)</f>
        <v>4.7763898048054899E-2</v>
      </c>
      <c r="AQ59" s="171">
        <f t="shared" si="72"/>
        <v>1.5999999999999999E-3</v>
      </c>
      <c r="AR59" s="171">
        <f t="shared" si="73"/>
        <v>3.0997622282646839E-3</v>
      </c>
      <c r="AS59" s="171">
        <f t="shared" ca="1" si="80"/>
        <v>0.16667582206345272</v>
      </c>
      <c r="AT59" s="34">
        <f ca="1">IF(Reset=1,150,AS59*Rth_typ+$A59)</f>
        <v>85.666977950157388</v>
      </c>
      <c r="AU59" s="172">
        <f t="shared" ca="1" si="74"/>
        <v>891.20149416075537</v>
      </c>
      <c r="AV59" s="172">
        <f t="shared" ca="1" si="75"/>
        <v>371.33395590031478</v>
      </c>
      <c r="AW59" s="173">
        <f t="shared" ca="1" si="76"/>
        <v>9.1855862507133637</v>
      </c>
      <c r="AX59" s="141">
        <f t="shared" ca="1" si="77"/>
        <v>5.0744525547445258</v>
      </c>
    </row>
    <row r="60" spans="1:50" s="43" customFormat="1" ht="12.75" customHeight="1" x14ac:dyDescent="0.25">
      <c r="A60" s="27">
        <f t="shared" si="40"/>
        <v>80</v>
      </c>
      <c r="B60" s="109">
        <f t="shared" si="41"/>
        <v>9.6074999999999982</v>
      </c>
      <c r="C60" s="110">
        <f t="shared" si="42"/>
        <v>1</v>
      </c>
      <c r="D60" s="99">
        <f t="shared" ca="1" si="43"/>
        <v>64.948196256617308</v>
      </c>
      <c r="E60" s="155">
        <f t="shared" ca="1" si="44"/>
        <v>856</v>
      </c>
      <c r="F60" s="100">
        <f t="shared" ca="1" si="45"/>
        <v>0.33102929672544928</v>
      </c>
      <c r="G60" s="31">
        <f t="shared" si="46"/>
        <v>5.1068641537715308E-2</v>
      </c>
      <c r="H60" s="31">
        <f t="shared" si="47"/>
        <v>1.2307207499999995E-2</v>
      </c>
      <c r="I60" s="31">
        <f ca="1">IF(Reset,1,D60/100*(C60^2+F60^2/12)*O60/1000)</f>
        <v>0.68704245435259215</v>
      </c>
      <c r="J60" s="31">
        <f ca="1">IF(Reset,1,(1-D60/100)*(C60^2+F60^2/12)*O60/1000)</f>
        <v>0.37078900818412491</v>
      </c>
      <c r="K60" s="31">
        <f t="shared" si="48"/>
        <v>4.7999999999999996E-3</v>
      </c>
      <c r="L60" s="31">
        <f t="shared" si="49"/>
        <v>3.031141537715313E-3</v>
      </c>
      <c r="M60" s="31">
        <f t="shared" ca="1" si="78"/>
        <v>1.1290384531121476</v>
      </c>
      <c r="N60" s="28">
        <f ca="1">IF(Reset=1,150,M60*Rth_typ+$A60)</f>
        <v>118.38730740581302</v>
      </c>
      <c r="O60" s="30">
        <f t="shared" ca="1" si="50"/>
        <v>1048.2590755479025</v>
      </c>
      <c r="P60" s="30">
        <f t="shared" ca="1" si="51"/>
        <v>436.77461481162607</v>
      </c>
      <c r="Q60" s="29">
        <f t="shared" ca="1" si="52"/>
        <v>8.2108111461171287</v>
      </c>
      <c r="R60" s="139">
        <f t="shared" ca="1" si="53"/>
        <v>5.0744525547445258</v>
      </c>
      <c r="S60" s="111">
        <f t="shared" si="54"/>
        <v>0.66666666666666663</v>
      </c>
      <c r="T60" s="102">
        <f t="shared" ca="1" si="55"/>
        <v>59.776708849878602</v>
      </c>
      <c r="U60" s="157">
        <f t="shared" ca="1" si="56"/>
        <v>985</v>
      </c>
      <c r="V60" s="163">
        <f t="shared" ca="1" si="57"/>
        <v>0.30588929229729095</v>
      </c>
      <c r="W60" s="164">
        <f t="shared" si="58"/>
        <v>5.1068641537715308E-2</v>
      </c>
      <c r="X60" s="164">
        <f t="shared" si="59"/>
        <v>8.2048049999999973E-3</v>
      </c>
      <c r="Y60" s="164">
        <f ca="1">IF(Reset,1,T60/100*(S60^2+V60^2/12)*AE60/1000)</f>
        <v>0.25530246447293392</v>
      </c>
      <c r="Z60" s="164">
        <f ca="1">IF(Reset,1,(1-T60/100)*(S60^2+V60^2/12)*AE60/1000)</f>
        <v>0.17179107979376823</v>
      </c>
      <c r="AA60" s="164">
        <f t="shared" si="60"/>
        <v>3.1999999999999997E-3</v>
      </c>
      <c r="AB60" s="164">
        <f t="shared" si="61"/>
        <v>3.031141537715313E-3</v>
      </c>
      <c r="AC60" s="164">
        <f t="shared" ca="1" si="79"/>
        <v>0.49259813234213279</v>
      </c>
      <c r="AD60" s="32">
        <f ca="1">IF(Reset=1,150,AC60*Rth_typ+$A60)</f>
        <v>96.748336499632515</v>
      </c>
      <c r="AE60" s="165">
        <f t="shared" ca="1" si="62"/>
        <v>944.39201519823609</v>
      </c>
      <c r="AF60" s="165">
        <f t="shared" ca="1" si="63"/>
        <v>393.496672999265</v>
      </c>
      <c r="AG60" s="160">
        <f t="shared" ca="1" si="64"/>
        <v>8.635360450957684</v>
      </c>
      <c r="AH60" s="140">
        <f t="shared" ca="1" si="65"/>
        <v>5.0744525547445258</v>
      </c>
      <c r="AI60" s="113">
        <f t="shared" si="66"/>
        <v>0.33333333333333331</v>
      </c>
      <c r="AJ60" s="107">
        <f t="shared" ca="1" si="67"/>
        <v>55.986476009341295</v>
      </c>
      <c r="AK60" s="167">
        <f t="shared" ca="1" si="68"/>
        <v>1080</v>
      </c>
      <c r="AL60" s="170">
        <f t="shared" ca="1" si="69"/>
        <v>0.28747795234988582</v>
      </c>
      <c r="AM60" s="171">
        <f t="shared" si="70"/>
        <v>5.1068641537715308E-2</v>
      </c>
      <c r="AN60" s="171">
        <f t="shared" si="71"/>
        <v>4.1024024999999987E-3</v>
      </c>
      <c r="AO60" s="171">
        <f ca="1">IF(Reset,1,AJ60/100*(AI60^2+AL60^2/12)*AU60/1000)</f>
        <v>5.8856574817270656E-2</v>
      </c>
      <c r="AP60" s="171">
        <f ca="1">IF(Reset,1,(1-AJ60/100)*(AI60^2+AL60^2/12)*AU60/1000)</f>
        <v>4.6269839653699962E-2</v>
      </c>
      <c r="AQ60" s="171">
        <f t="shared" si="72"/>
        <v>1.5999999999999999E-3</v>
      </c>
      <c r="AR60" s="171">
        <f t="shared" si="73"/>
        <v>3.031141537715313E-3</v>
      </c>
      <c r="AS60" s="171">
        <f t="shared" ca="1" si="80"/>
        <v>0.16492860004640122</v>
      </c>
      <c r="AT60" s="34">
        <f ca="1">IF(Reset=1,150,AS60*Rth_typ+$A60)</f>
        <v>85.607572401577642</v>
      </c>
      <c r="AU60" s="172">
        <f t="shared" ca="1" si="74"/>
        <v>890.91634752757273</v>
      </c>
      <c r="AV60" s="172">
        <f t="shared" ca="1" si="75"/>
        <v>371.21514480315528</v>
      </c>
      <c r="AW60" s="173">
        <f t="shared" ca="1" si="76"/>
        <v>8.9755744144550178</v>
      </c>
      <c r="AX60" s="141">
        <f t="shared" ca="1" si="77"/>
        <v>5.0744525547445258</v>
      </c>
    </row>
    <row r="61" spans="1:50" s="43" customFormat="1" ht="12.75" customHeight="1" x14ac:dyDescent="0.25">
      <c r="A61" s="27">
        <f t="shared" si="40"/>
        <v>80</v>
      </c>
      <c r="B61" s="109">
        <f t="shared" si="41"/>
        <v>9.3899999999999988</v>
      </c>
      <c r="C61" s="110">
        <f t="shared" si="42"/>
        <v>1</v>
      </c>
      <c r="D61" s="99">
        <f t="shared" ca="1" si="43"/>
        <v>66.63584218627939</v>
      </c>
      <c r="E61" s="155">
        <f t="shared" ca="1" si="44"/>
        <v>814</v>
      </c>
      <c r="F61" s="100">
        <f t="shared" ca="1" si="45"/>
        <v>0.32316221420391866</v>
      </c>
      <c r="G61" s="31">
        <f t="shared" si="46"/>
        <v>4.9912520847165943E-2</v>
      </c>
      <c r="H61" s="31">
        <f t="shared" si="47"/>
        <v>1.1756279999999999E-2</v>
      </c>
      <c r="I61" s="31">
        <f ca="1">IF(Reset,1,D61/100*(C61^2+F61^2/12)*O61/1000)</f>
        <v>0.70430311950619851</v>
      </c>
      <c r="J61" s="31">
        <f ca="1">IF(Reset,1,(1-D61/100)*(C61^2+F61^2/12)*O61/1000)</f>
        <v>0.35264025570819557</v>
      </c>
      <c r="K61" s="31">
        <f t="shared" si="48"/>
        <v>4.7999999999999996E-3</v>
      </c>
      <c r="L61" s="31">
        <f t="shared" si="49"/>
        <v>2.9625208471659422E-3</v>
      </c>
      <c r="M61" s="31">
        <f t="shared" ca="1" si="78"/>
        <v>1.126374696908726</v>
      </c>
      <c r="N61" s="28">
        <f ca="1">IF(Reset=1,150,M61*Rth_typ+$A61)</f>
        <v>118.29673969489669</v>
      </c>
      <c r="O61" s="30">
        <f t="shared" ca="1" si="50"/>
        <v>1047.824350535504</v>
      </c>
      <c r="P61" s="30">
        <f t="shared" ca="1" si="51"/>
        <v>436.5934793897934</v>
      </c>
      <c r="Q61" s="29">
        <f t="shared" ca="1" si="52"/>
        <v>8.0011322490834509</v>
      </c>
      <c r="R61" s="139">
        <f t="shared" ca="1" si="53"/>
        <v>5.0744525547445258</v>
      </c>
      <c r="S61" s="111">
        <f t="shared" si="54"/>
        <v>0.66666666666666663</v>
      </c>
      <c r="T61" s="102">
        <f t="shared" ca="1" si="55"/>
        <v>61.258054020469643</v>
      </c>
      <c r="U61" s="157">
        <f t="shared" ca="1" si="56"/>
        <v>948</v>
      </c>
      <c r="V61" s="163">
        <f t="shared" ca="1" si="57"/>
        <v>0.29832960208750525</v>
      </c>
      <c r="W61" s="164">
        <f t="shared" si="58"/>
        <v>4.9912520847165943E-2</v>
      </c>
      <c r="X61" s="164">
        <f t="shared" si="59"/>
        <v>7.8375199999999989E-3</v>
      </c>
      <c r="Y61" s="164">
        <f ca="1">IF(Reset,1,T61/100*(S61^2+V61^2/12)*AE61/1000)</f>
        <v>0.26131381061157771</v>
      </c>
      <c r="Z61" s="164">
        <f ca="1">IF(Reset,1,(1-T61/100)*(S61^2+V61^2/12)*AE61/1000)</f>
        <v>0.16526488959371868</v>
      </c>
      <c r="AA61" s="164">
        <f t="shared" si="60"/>
        <v>3.1999999999999997E-3</v>
      </c>
      <c r="AB61" s="164">
        <f t="shared" si="61"/>
        <v>2.9625208471659422E-3</v>
      </c>
      <c r="AC61" s="164">
        <f t="shared" ca="1" si="79"/>
        <v>0.49049126189962827</v>
      </c>
      <c r="AD61" s="32">
        <f ca="1">IF(Reset=1,150,AC61*Rth_typ+$A61)</f>
        <v>96.676702904587358</v>
      </c>
      <c r="AE61" s="165">
        <f t="shared" ca="1" si="62"/>
        <v>944.04817394201928</v>
      </c>
      <c r="AF61" s="165">
        <f t="shared" ca="1" si="63"/>
        <v>393.35340580917472</v>
      </c>
      <c r="AG61" s="160">
        <f t="shared" ca="1" si="64"/>
        <v>8.4254801321163306</v>
      </c>
      <c r="AH61" s="140">
        <f t="shared" ca="1" si="65"/>
        <v>5.0744525547445258</v>
      </c>
      <c r="AI61" s="113">
        <f t="shared" si="66"/>
        <v>0.33333333333333331</v>
      </c>
      <c r="AJ61" s="107">
        <f t="shared" ca="1" si="67"/>
        <v>57.32457422973922</v>
      </c>
      <c r="AK61" s="167">
        <f t="shared" ca="1" si="68"/>
        <v>1046</v>
      </c>
      <c r="AL61" s="170">
        <f t="shared" ca="1" si="69"/>
        <v>0.28018067352873821</v>
      </c>
      <c r="AM61" s="171">
        <f t="shared" si="70"/>
        <v>4.9912520847165943E-2</v>
      </c>
      <c r="AN61" s="171">
        <f t="shared" si="71"/>
        <v>3.9187599999999994E-3</v>
      </c>
      <c r="AO61" s="171">
        <f ca="1">IF(Reset,1,AJ61/100*(AI61^2+AL61^2/12)*AU61/1000)</f>
        <v>6.0067715884792192E-2</v>
      </c>
      <c r="AP61" s="171">
        <f ca="1">IF(Reset,1,(1-AJ61/100)*(AI61^2+AL61^2/12)*AU61/1000)</f>
        <v>4.4717564585079778E-2</v>
      </c>
      <c r="AQ61" s="171">
        <f t="shared" si="72"/>
        <v>1.5999999999999999E-3</v>
      </c>
      <c r="AR61" s="171">
        <f t="shared" si="73"/>
        <v>2.9625208471659422E-3</v>
      </c>
      <c r="AS61" s="171">
        <f t="shared" ca="1" si="80"/>
        <v>0.16317908216420385</v>
      </c>
      <c r="AT61" s="34">
        <f ca="1">IF(Reset=1,150,AS61*Rth_typ+$A61)</f>
        <v>85.548088793582934</v>
      </c>
      <c r="AU61" s="172">
        <f t="shared" ca="1" si="74"/>
        <v>890.63082620919806</v>
      </c>
      <c r="AV61" s="172">
        <f t="shared" ca="1" si="75"/>
        <v>371.09617758716587</v>
      </c>
      <c r="AW61" s="173">
        <f t="shared" ca="1" si="76"/>
        <v>8.7655627006146482</v>
      </c>
      <c r="AX61" s="141">
        <f t="shared" ca="1" si="77"/>
        <v>5.0744525547445258</v>
      </c>
    </row>
    <row r="62" spans="1:50" s="43" customFormat="1" ht="12.75" customHeight="1" x14ac:dyDescent="0.25">
      <c r="A62" s="27">
        <f t="shared" si="40"/>
        <v>80</v>
      </c>
      <c r="B62" s="109">
        <f t="shared" si="41"/>
        <v>9.1724999999999994</v>
      </c>
      <c r="C62" s="110">
        <f t="shared" si="42"/>
        <v>1</v>
      </c>
      <c r="D62" s="99">
        <f t="shared" ca="1" si="43"/>
        <v>68.41366226533404</v>
      </c>
      <c r="E62" s="155">
        <f t="shared" ca="1" si="44"/>
        <v>769</v>
      </c>
      <c r="F62" s="100">
        <f t="shared" ca="1" si="45"/>
        <v>0.31487597435871384</v>
      </c>
      <c r="G62" s="31">
        <f t="shared" si="46"/>
        <v>4.8756400156616572E-2</v>
      </c>
      <c r="H62" s="31">
        <f t="shared" si="47"/>
        <v>1.1217967499999999E-2</v>
      </c>
      <c r="I62" s="31">
        <f ca="1">IF(Reset,1,D62/100*(C62^2+F62^2/12)*O62/1000)</f>
        <v>0.7224780711456078</v>
      </c>
      <c r="J62" s="31">
        <f ca="1">IF(Reset,1,(1-D62/100)*(C62^2+F62^2/12)*O62/1000)</f>
        <v>0.33356548393197999</v>
      </c>
      <c r="K62" s="31">
        <f t="shared" si="48"/>
        <v>4.7999999999999996E-3</v>
      </c>
      <c r="L62" s="31">
        <f t="shared" si="49"/>
        <v>2.8939001566165717E-3</v>
      </c>
      <c r="M62" s="31">
        <f t="shared" ca="1" si="78"/>
        <v>1.1237118228908209</v>
      </c>
      <c r="N62" s="28">
        <f ca="1">IF(Reset=1,150,M62*Rth_typ+$A62)</f>
        <v>118.20620197828791</v>
      </c>
      <c r="O62" s="30">
        <f t="shared" ca="1" si="50"/>
        <v>1047.3897694957818</v>
      </c>
      <c r="P62" s="30">
        <f t="shared" ca="1" si="51"/>
        <v>436.41240395657582</v>
      </c>
      <c r="Q62" s="29">
        <f t="shared" ca="1" si="52"/>
        <v>7.7914532109325512</v>
      </c>
      <c r="R62" s="139">
        <f t="shared" ca="1" si="53"/>
        <v>5.0744525547445258</v>
      </c>
      <c r="S62" s="111">
        <f t="shared" si="54"/>
        <v>0.66666666666666663</v>
      </c>
      <c r="T62" s="102">
        <f t="shared" ca="1" si="55"/>
        <v>62.81474509394112</v>
      </c>
      <c r="U62" s="157">
        <f t="shared" ca="1" si="56"/>
        <v>909</v>
      </c>
      <c r="V62" s="163">
        <f t="shared" ca="1" si="57"/>
        <v>0.29038599433977791</v>
      </c>
      <c r="W62" s="164">
        <f t="shared" si="58"/>
        <v>4.8756400156616572E-2</v>
      </c>
      <c r="X62" s="164">
        <f t="shared" si="59"/>
        <v>7.478644999999999E-3</v>
      </c>
      <c r="Y62" s="164">
        <f ca="1">IF(Reset,1,T62/100*(S62^2+V62^2/12)*AE62/1000)</f>
        <v>0.26762571981574751</v>
      </c>
      <c r="Z62" s="164">
        <f ca="1">IF(Reset,1,(1-T62/100)*(S62^2+V62^2/12)*AE62/1000)</f>
        <v>0.15842984948650174</v>
      </c>
      <c r="AA62" s="164">
        <f t="shared" si="60"/>
        <v>3.1999999999999997E-3</v>
      </c>
      <c r="AB62" s="164">
        <f t="shared" si="61"/>
        <v>2.8939001566165717E-3</v>
      </c>
      <c r="AC62" s="164">
        <f t="shared" ca="1" si="79"/>
        <v>0.48838451461548238</v>
      </c>
      <c r="AD62" s="32">
        <f ca="1">IF(Reset=1,150,AC62*Rth_typ+$A62)</f>
        <v>96.605073496926394</v>
      </c>
      <c r="AE62" s="165">
        <f t="shared" ca="1" si="62"/>
        <v>943.70435278524667</v>
      </c>
      <c r="AF62" s="165">
        <f t="shared" ca="1" si="63"/>
        <v>393.21014699385279</v>
      </c>
      <c r="AG62" s="160">
        <f t="shared" ca="1" si="64"/>
        <v>8.2155998001411064</v>
      </c>
      <c r="AH62" s="140">
        <f t="shared" ca="1" si="65"/>
        <v>5.0744525547445258</v>
      </c>
      <c r="AI62" s="113">
        <f t="shared" si="66"/>
        <v>0.33333333333333331</v>
      </c>
      <c r="AJ62" s="107">
        <f t="shared" ca="1" si="67"/>
        <v>58.72822271624247</v>
      </c>
      <c r="AK62" s="167">
        <f t="shared" ca="1" si="68"/>
        <v>1011</v>
      </c>
      <c r="AL62" s="170">
        <f t="shared" ca="1" si="69"/>
        <v>0.27252614053043822</v>
      </c>
      <c r="AM62" s="171">
        <f t="shared" si="70"/>
        <v>4.8756400156616572E-2</v>
      </c>
      <c r="AN62" s="171">
        <f t="shared" si="71"/>
        <v>3.7393224999999995E-3</v>
      </c>
      <c r="AO62" s="171">
        <f ca="1">IF(Reset,1,AJ62/100*(AI62^2+AL62^2/12)*AU62/1000)</f>
        <v>6.1334432339190767E-2</v>
      </c>
      <c r="AP62" s="171">
        <f ca="1">IF(Reset,1,(1-AJ62/100)*(AI62^2+AL62^2/12)*AU62/1000)</f>
        <v>4.310331411797811E-2</v>
      </c>
      <c r="AQ62" s="171">
        <f t="shared" si="72"/>
        <v>1.5999999999999999E-3</v>
      </c>
      <c r="AR62" s="171">
        <f t="shared" si="73"/>
        <v>2.8939001566165717E-3</v>
      </c>
      <c r="AS62" s="171">
        <f t="shared" ca="1" si="80"/>
        <v>0.16142736927040202</v>
      </c>
      <c r="AT62" s="34">
        <f ca="1">IF(Reset=1,150,AS62*Rth_typ+$A62)</f>
        <v>85.488530555193663</v>
      </c>
      <c r="AU62" s="172">
        <f t="shared" ca="1" si="74"/>
        <v>890.34494666492958</v>
      </c>
      <c r="AV62" s="172">
        <f t="shared" ca="1" si="75"/>
        <v>370.97706111038735</v>
      </c>
      <c r="AW62" s="173">
        <f t="shared" ca="1" si="76"/>
        <v>8.5555511038146417</v>
      </c>
      <c r="AX62" s="141">
        <f t="shared" ca="1" si="77"/>
        <v>5.0744525547445258</v>
      </c>
    </row>
    <row r="63" spans="1:50" s="43" customFormat="1" ht="12.75" customHeight="1" x14ac:dyDescent="0.25">
      <c r="A63" s="27">
        <f t="shared" si="40"/>
        <v>80</v>
      </c>
      <c r="B63" s="109">
        <f t="shared" si="41"/>
        <v>8.9550000000000001</v>
      </c>
      <c r="C63" s="110">
        <f t="shared" si="42"/>
        <v>1</v>
      </c>
      <c r="D63" s="99">
        <f t="shared" ca="1" si="43"/>
        <v>70.289082045626643</v>
      </c>
      <c r="E63" s="155">
        <f t="shared" ca="1" si="44"/>
        <v>722</v>
      </c>
      <c r="F63" s="100">
        <f t="shared" ca="1" si="45"/>
        <v>0.30613606005764032</v>
      </c>
      <c r="G63" s="31">
        <f t="shared" si="46"/>
        <v>4.7600279466067194E-2</v>
      </c>
      <c r="H63" s="31">
        <f t="shared" si="47"/>
        <v>1.069227E-2</v>
      </c>
      <c r="I63" s="31">
        <f ca="1">IF(Reset,1,D63/100*(C63^2+F63^2/12)*O63/1000)</f>
        <v>0.74164258963375584</v>
      </c>
      <c r="J63" s="31">
        <f ca="1">IF(Reset,1,(1-D63/100)*(C63^2+F63^2/12)*O63/1000)</f>
        <v>0.31348939964494121</v>
      </c>
      <c r="K63" s="31">
        <f t="shared" si="48"/>
        <v>4.7999999999999996E-3</v>
      </c>
      <c r="L63" s="31">
        <f t="shared" si="49"/>
        <v>2.8252794660672009E-3</v>
      </c>
      <c r="M63" s="31">
        <f t="shared" ca="1" si="78"/>
        <v>1.1210498182108315</v>
      </c>
      <c r="N63" s="28">
        <f ca="1">IF(Reset=1,150,M63*Rth_typ+$A63)</f>
        <v>118.11569381916827</v>
      </c>
      <c r="O63" s="30">
        <f t="shared" ca="1" si="50"/>
        <v>1046.9553303320076</v>
      </c>
      <c r="P63" s="30">
        <f t="shared" ca="1" si="51"/>
        <v>436.23138763833651</v>
      </c>
      <c r="Q63" s="29">
        <f t="shared" ca="1" si="52"/>
        <v>7.5817740337195767</v>
      </c>
      <c r="R63" s="139">
        <f t="shared" ca="1" si="53"/>
        <v>5.0744525547445258</v>
      </c>
      <c r="S63" s="111">
        <f t="shared" si="54"/>
        <v>0.66666666666666663</v>
      </c>
      <c r="T63" s="102">
        <f t="shared" ca="1" si="55"/>
        <v>64.452680746415126</v>
      </c>
      <c r="U63" s="157">
        <f t="shared" ca="1" si="56"/>
        <v>868</v>
      </c>
      <c r="V63" s="163">
        <f t="shared" ca="1" si="57"/>
        <v>0.28202841453144245</v>
      </c>
      <c r="W63" s="164">
        <f t="shared" si="58"/>
        <v>4.7600279466067194E-2</v>
      </c>
      <c r="X63" s="164">
        <f t="shared" si="59"/>
        <v>7.1281799999999996E-3</v>
      </c>
      <c r="Y63" s="164">
        <f ca="1">IF(Reset,1,T63/100*(S63^2+V63^2/12)*AE63/1000)</f>
        <v>0.27426180294603292</v>
      </c>
      <c r="Z63" s="164">
        <f ca="1">IF(Reset,1,(1-T63/100)*(S63^2+V63^2/12)*AE63/1000)</f>
        <v>0.15126247280146954</v>
      </c>
      <c r="AA63" s="164">
        <f t="shared" si="60"/>
        <v>3.1999999999999997E-3</v>
      </c>
      <c r="AB63" s="164">
        <f t="shared" si="61"/>
        <v>2.8252794660672009E-3</v>
      </c>
      <c r="AC63" s="164">
        <f t="shared" ca="1" si="79"/>
        <v>0.48627801467963683</v>
      </c>
      <c r="AD63" s="32">
        <f ca="1">IF(Reset=1,150,AC63*Rth_typ+$A63)</f>
        <v>96.533452499107653</v>
      </c>
      <c r="AE63" s="165">
        <f t="shared" ca="1" si="62"/>
        <v>943.36057199571678</v>
      </c>
      <c r="AF63" s="165">
        <f t="shared" ca="1" si="63"/>
        <v>393.06690499821531</v>
      </c>
      <c r="AG63" s="160">
        <f t="shared" ca="1" si="64"/>
        <v>8.0057194417881306</v>
      </c>
      <c r="AH63" s="140">
        <f t="shared" ca="1" si="65"/>
        <v>5.0744525547445258</v>
      </c>
      <c r="AI63" s="113">
        <f t="shared" si="66"/>
        <v>0.33333333333333331</v>
      </c>
      <c r="AJ63" s="107">
        <f t="shared" ca="1" si="67"/>
        <v>60.20235929880441</v>
      </c>
      <c r="AK63" s="167">
        <f t="shared" ca="1" si="68"/>
        <v>974</v>
      </c>
      <c r="AL63" s="170">
        <f t="shared" ca="1" si="69"/>
        <v>0.26448744333344598</v>
      </c>
      <c r="AM63" s="171">
        <f t="shared" si="70"/>
        <v>4.7600279466067194E-2</v>
      </c>
      <c r="AN63" s="171">
        <f t="shared" si="71"/>
        <v>3.5640899999999998E-3</v>
      </c>
      <c r="AO63" s="171">
        <f ca="1">IF(Reset,1,AJ63/100*(AI63^2+AL63^2/12)*AU63/1000)</f>
        <v>6.2661013724566186E-2</v>
      </c>
      <c r="AP63" s="171">
        <f ca="1">IF(Reset,1,(1-AJ63/100)*(AI63^2+AL63^2/12)*AU63/1000)</f>
        <v>4.1422969784383444E-2</v>
      </c>
      <c r="AQ63" s="171">
        <f t="shared" si="72"/>
        <v>1.5999999999999999E-3</v>
      </c>
      <c r="AR63" s="171">
        <f t="shared" si="73"/>
        <v>2.8252794660672009E-3</v>
      </c>
      <c r="AS63" s="171">
        <f t="shared" ca="1" si="80"/>
        <v>0.15967363244108401</v>
      </c>
      <c r="AT63" s="34">
        <f ca="1">IF(Reset=1,150,AS63*Rth_typ+$A63)</f>
        <v>85.42890350299686</v>
      </c>
      <c r="AU63" s="172">
        <f t="shared" ca="1" si="74"/>
        <v>890.05873681438493</v>
      </c>
      <c r="AV63" s="172">
        <f t="shared" ca="1" si="75"/>
        <v>370.85780700599372</v>
      </c>
      <c r="AW63" s="173">
        <f t="shared" ca="1" si="76"/>
        <v>8.345539614933033</v>
      </c>
      <c r="AX63" s="141">
        <f t="shared" ca="1" si="77"/>
        <v>5.0744525547445258</v>
      </c>
    </row>
    <row r="64" spans="1:50" s="43" customFormat="1" ht="12.75" customHeight="1" x14ac:dyDescent="0.25">
      <c r="A64" s="27">
        <f t="shared" si="40"/>
        <v>80</v>
      </c>
      <c r="B64" s="109">
        <f t="shared" si="41"/>
        <v>8.7375000000000007</v>
      </c>
      <c r="C64" s="110">
        <f t="shared" si="42"/>
        <v>1</v>
      </c>
      <c r="D64" s="99">
        <f t="shared" ca="1" si="43"/>
        <v>72.270365714652684</v>
      </c>
      <c r="E64" s="155">
        <f t="shared" ca="1" si="44"/>
        <v>673</v>
      </c>
      <c r="F64" s="100">
        <f t="shared" ca="1" si="45"/>
        <v>0.29690405868198982</v>
      </c>
      <c r="G64" s="31">
        <f t="shared" si="46"/>
        <v>4.644415877551783E-2</v>
      </c>
      <c r="H64" s="31">
        <f t="shared" si="47"/>
        <v>1.0179187500000002E-2</v>
      </c>
      <c r="I64" s="31">
        <f ca="1">IF(Reset,1,D64/100*(C64^2+F64^2/12)*O64/1000)</f>
        <v>0.76188055376288177</v>
      </c>
      <c r="J64" s="31">
        <f ca="1">IF(Reset,1,(1-D64/100)*(C64^2+F64^2/12)*O64/1000)</f>
        <v>0.29232824430939902</v>
      </c>
      <c r="K64" s="31">
        <f t="shared" si="48"/>
        <v>4.7999999999999996E-3</v>
      </c>
      <c r="L64" s="31">
        <f t="shared" si="49"/>
        <v>2.7566587755178304E-3</v>
      </c>
      <c r="M64" s="31">
        <f t="shared" ca="1" si="78"/>
        <v>1.1183888031233165</v>
      </c>
      <c r="N64" s="28">
        <f ca="1">IF(Reset=1,150,M64*Rth_typ+$A64)</f>
        <v>118.02521930619275</v>
      </c>
      <c r="O64" s="30">
        <f t="shared" ca="1" si="50"/>
        <v>1046.5210526697251</v>
      </c>
      <c r="P64" s="30">
        <f t="shared" ca="1" si="51"/>
        <v>436.05043861238551</v>
      </c>
      <c r="Q64" s="29">
        <f t="shared" ca="1" si="52"/>
        <v>7.3720946982082252</v>
      </c>
      <c r="R64" s="139">
        <f t="shared" ca="1" si="53"/>
        <v>5.0744525547445258</v>
      </c>
      <c r="S64" s="111">
        <f t="shared" si="54"/>
        <v>0.66666666666666663</v>
      </c>
      <c r="T64" s="102">
        <f t="shared" ca="1" si="55"/>
        <v>66.178392026251615</v>
      </c>
      <c r="U64" s="157">
        <f t="shared" ca="1" si="56"/>
        <v>825</v>
      </c>
      <c r="V64" s="163">
        <f t="shared" ca="1" si="57"/>
        <v>0.27322358744960429</v>
      </c>
      <c r="W64" s="164">
        <f t="shared" si="58"/>
        <v>4.644415877551783E-2</v>
      </c>
      <c r="X64" s="164">
        <f t="shared" si="59"/>
        <v>6.7861250000000014E-3</v>
      </c>
      <c r="Y64" s="164">
        <f ca="1">IF(Reset,1,T64/100*(S64^2+V64^2/12)*AE64/1000)</f>
        <v>0.28124827101455657</v>
      </c>
      <c r="Z64" s="164">
        <f ca="1">IF(Reset,1,(1-T64/100)*(S64^2+V64^2/12)*AE64/1000)</f>
        <v>0.14373677682853866</v>
      </c>
      <c r="AA64" s="164">
        <f t="shared" si="60"/>
        <v>3.1999999999999997E-3</v>
      </c>
      <c r="AB64" s="164">
        <f t="shared" si="61"/>
        <v>2.7566587755178304E-3</v>
      </c>
      <c r="AC64" s="164">
        <f t="shared" ca="1" si="79"/>
        <v>0.48417199039413089</v>
      </c>
      <c r="AD64" s="32">
        <f ca="1">IF(Reset=1,150,AC64*Rth_typ+$A64)</f>
        <v>96.461847673400456</v>
      </c>
      <c r="AE64" s="165">
        <f t="shared" ca="1" si="62"/>
        <v>943.01686883232219</v>
      </c>
      <c r="AF64" s="165">
        <f t="shared" ca="1" si="63"/>
        <v>392.92369534680091</v>
      </c>
      <c r="AG64" s="160">
        <f t="shared" ca="1" si="64"/>
        <v>7.7958390327107914</v>
      </c>
      <c r="AH64" s="140">
        <f t="shared" ca="1" si="65"/>
        <v>5.0744525547445258</v>
      </c>
      <c r="AI64" s="113">
        <f t="shared" si="66"/>
        <v>0.33333333333333331</v>
      </c>
      <c r="AJ64" s="107">
        <f t="shared" ca="1" si="67"/>
        <v>61.752430584319065</v>
      </c>
      <c r="AK64" s="167">
        <f t="shared" ca="1" si="68"/>
        <v>936</v>
      </c>
      <c r="AL64" s="170">
        <f t="shared" ca="1" si="69"/>
        <v>0.25603489971553484</v>
      </c>
      <c r="AM64" s="171">
        <f t="shared" si="70"/>
        <v>4.644415877551783E-2</v>
      </c>
      <c r="AN64" s="171">
        <f t="shared" si="71"/>
        <v>3.3930625000000007E-3</v>
      </c>
      <c r="AO64" s="171">
        <f ca="1">IF(Reset,1,AJ64/100*(AI64^2+AL64^2/12)*AU64/1000)</f>
        <v>6.4052245410009923E-2</v>
      </c>
      <c r="AP64" s="171">
        <f ca="1">IF(Reset,1,(1-AJ64/100)*(AI64^2+AL64^2/12)*AU64/1000)</f>
        <v>3.9672004476074482E-2</v>
      </c>
      <c r="AQ64" s="171">
        <f t="shared" si="72"/>
        <v>1.5999999999999999E-3</v>
      </c>
      <c r="AR64" s="171">
        <f t="shared" si="73"/>
        <v>2.7566587755178304E-3</v>
      </c>
      <c r="AS64" s="171">
        <f t="shared" ca="1" si="80"/>
        <v>0.15791812993712007</v>
      </c>
      <c r="AT64" s="34">
        <f ca="1">IF(Reset=1,150,AS64*Rth_typ+$A64)</f>
        <v>85.369216417862077</v>
      </c>
      <c r="AU64" s="172">
        <f t="shared" ca="1" si="74"/>
        <v>889.77223880573797</v>
      </c>
      <c r="AV64" s="172">
        <f t="shared" ca="1" si="75"/>
        <v>370.73843283572415</v>
      </c>
      <c r="AW64" s="173">
        <f t="shared" ca="1" si="76"/>
        <v>8.1355282201990811</v>
      </c>
      <c r="AX64" s="141">
        <f t="shared" ca="1" si="77"/>
        <v>5.0744525547445258</v>
      </c>
    </row>
    <row r="65" spans="1:50" s="43" customFormat="1" ht="12.75" customHeight="1" x14ac:dyDescent="0.25">
      <c r="A65" s="27">
        <f t="shared" si="40"/>
        <v>80</v>
      </c>
      <c r="B65" s="109">
        <f t="shared" si="41"/>
        <v>8.5200000000000014</v>
      </c>
      <c r="C65" s="110">
        <f t="shared" si="42"/>
        <v>1</v>
      </c>
      <c r="D65" s="99">
        <f t="shared" ca="1" si="43"/>
        <v>74.366738012318976</v>
      </c>
      <c r="E65" s="155">
        <f t="shared" ca="1" si="44"/>
        <v>620</v>
      </c>
      <c r="F65" s="100">
        <f t="shared" ca="1" si="45"/>
        <v>0.28713709651275254</v>
      </c>
      <c r="G65" s="31">
        <f t="shared" si="46"/>
        <v>4.5288038084968466E-2</v>
      </c>
      <c r="H65" s="31">
        <f t="shared" si="47"/>
        <v>9.6787200000000035E-3</v>
      </c>
      <c r="I65" s="31">
        <f ca="1">IF(Reset,1,D65/100*(C65^2+F65^2/12)*O65/1000)</f>
        <v>0.78328572001751517</v>
      </c>
      <c r="J65" s="31">
        <f ca="1">IF(Reset,1,(1-D65/100)*(C65^2+F65^2/12)*O65/1000)</f>
        <v>0.2699885541448967</v>
      </c>
      <c r="K65" s="31">
        <f t="shared" si="48"/>
        <v>4.7999999999999996E-3</v>
      </c>
      <c r="L65" s="31">
        <f t="shared" si="49"/>
        <v>2.68803808496846E-3</v>
      </c>
      <c r="M65" s="31">
        <f t="shared" ca="1" si="78"/>
        <v>1.1157290703323488</v>
      </c>
      <c r="N65" s="28">
        <f ca="1">IF(Reset=1,150,M65*Rth_typ+$A65)</f>
        <v>117.93478839129986</v>
      </c>
      <c r="O65" s="30">
        <f t="shared" ca="1" si="50"/>
        <v>1046.0869842782392</v>
      </c>
      <c r="P65" s="30">
        <f t="shared" ca="1" si="51"/>
        <v>435.86957678259972</v>
      </c>
      <c r="Q65" s="29">
        <f t="shared" ca="1" si="52"/>
        <v>7.1624151575766124</v>
      </c>
      <c r="R65" s="139">
        <f t="shared" ca="1" si="53"/>
        <v>5.0744525547445258</v>
      </c>
      <c r="S65" s="111">
        <f t="shared" si="54"/>
        <v>0.66666666666666663</v>
      </c>
      <c r="T65" s="102">
        <f t="shared" ca="1" si="55"/>
        <v>67.999129463561928</v>
      </c>
      <c r="U65" s="157">
        <f t="shared" ca="1" si="56"/>
        <v>780</v>
      </c>
      <c r="V65" s="163">
        <f t="shared" ca="1" si="57"/>
        <v>0.26393457383205238</v>
      </c>
      <c r="W65" s="164">
        <f t="shared" si="58"/>
        <v>4.5288038084968466E-2</v>
      </c>
      <c r="X65" s="164">
        <f t="shared" si="59"/>
        <v>6.4524800000000026E-3</v>
      </c>
      <c r="Y65" s="164">
        <f ca="1">IF(Reset,1,T65/100*(S65^2+V65^2/12)*AE65/1000)</f>
        <v>0.28861431180591179</v>
      </c>
      <c r="Z65" s="164">
        <f ca="1">IF(Reset,1,(1-T65/100)*(S65^2+V65^2/12)*AE65/1000)</f>
        <v>0.13582393333451886</v>
      </c>
      <c r="AA65" s="164">
        <f t="shared" si="60"/>
        <v>3.1999999999999997E-3</v>
      </c>
      <c r="AB65" s="164">
        <f t="shared" si="61"/>
        <v>2.68803808496846E-3</v>
      </c>
      <c r="AC65" s="164">
        <f t="shared" ca="1" si="79"/>
        <v>0.48206680131036761</v>
      </c>
      <c r="AD65" s="32">
        <f ca="1">IF(Reset=1,150,AC65*Rth_typ+$A65)</f>
        <v>96.390271244552494</v>
      </c>
      <c r="AE65" s="165">
        <f t="shared" ca="1" si="62"/>
        <v>942.67330197385195</v>
      </c>
      <c r="AF65" s="165">
        <f t="shared" ca="1" si="63"/>
        <v>392.78054248910496</v>
      </c>
      <c r="AG65" s="160">
        <f t="shared" ca="1" si="64"/>
        <v>7.5859585345657541</v>
      </c>
      <c r="AH65" s="140">
        <f t="shared" ca="1" si="65"/>
        <v>5.0744525547445258</v>
      </c>
      <c r="AI65" s="113">
        <f t="shared" si="66"/>
        <v>0.33333333333333331</v>
      </c>
      <c r="AJ65" s="107">
        <f t="shared" ca="1" si="67"/>
        <v>63.384459229027897</v>
      </c>
      <c r="AK65" s="167">
        <f t="shared" ca="1" si="68"/>
        <v>895</v>
      </c>
      <c r="AL65" s="170">
        <f t="shared" ca="1" si="69"/>
        <v>0.24713568880859194</v>
      </c>
      <c r="AM65" s="171">
        <f t="shared" si="70"/>
        <v>4.5288038084968466E-2</v>
      </c>
      <c r="AN65" s="171">
        <f t="shared" si="71"/>
        <v>3.2262400000000013E-3</v>
      </c>
      <c r="AO65" s="171">
        <f ca="1">IF(Reset,1,AJ65/100*(AI65^2+AL65^2/12)*AU65/1000)</f>
        <v>6.5513487420599939E-2</v>
      </c>
      <c r="AP65" s="171">
        <f ca="1">IF(Reset,1,(1-AJ65/100)*(AI65^2+AL65^2/12)*AU65/1000)</f>
        <v>3.784542455477749E-2</v>
      </c>
      <c r="AQ65" s="171">
        <f t="shared" si="72"/>
        <v>1.5999999999999999E-3</v>
      </c>
      <c r="AR65" s="171">
        <f t="shared" si="73"/>
        <v>2.68803808496846E-3</v>
      </c>
      <c r="AS65" s="171">
        <f t="shared" ca="1" si="80"/>
        <v>0.15616122814531433</v>
      </c>
      <c r="AT65" s="34">
        <f ca="1">IF(Reset=1,150,AS65*Rth_typ+$A65)</f>
        <v>85.309481756940684</v>
      </c>
      <c r="AU65" s="172">
        <f t="shared" ca="1" si="74"/>
        <v>889.48551243331531</v>
      </c>
      <c r="AV65" s="172">
        <f t="shared" ca="1" si="75"/>
        <v>370.61896351388134</v>
      </c>
      <c r="AW65" s="173">
        <f t="shared" ca="1" si="76"/>
        <v>7.9255169000766497</v>
      </c>
      <c r="AX65" s="141">
        <f t="shared" ca="1" si="77"/>
        <v>5.0744525547445258</v>
      </c>
    </row>
    <row r="66" spans="1:50" s="43" customFormat="1" ht="12.75" customHeight="1" x14ac:dyDescent="0.25">
      <c r="A66" s="27">
        <f t="shared" si="40"/>
        <v>80</v>
      </c>
      <c r="B66" s="109">
        <f t="shared" si="41"/>
        <v>8.302500000000002</v>
      </c>
      <c r="C66" s="110">
        <f t="shared" si="42"/>
        <v>1</v>
      </c>
      <c r="D66" s="99">
        <f t="shared" ca="1" si="43"/>
        <v>76.588528075175716</v>
      </c>
      <c r="E66" s="155">
        <f t="shared" ca="1" si="44"/>
        <v>565</v>
      </c>
      <c r="F66" s="100">
        <f t="shared" ca="1" si="45"/>
        <v>0.27678717156641258</v>
      </c>
      <c r="G66" s="31">
        <f t="shared" si="46"/>
        <v>4.4131917394419094E-2</v>
      </c>
      <c r="H66" s="31">
        <f t="shared" si="47"/>
        <v>9.1908675000000033E-3</v>
      </c>
      <c r="I66" s="31">
        <f ca="1">IF(Reset,1,D66/100*(C66^2+F66^2/12)*O66/1000)</f>
        <v>0.80596324014315601</v>
      </c>
      <c r="J66" s="31">
        <f ca="1">IF(Reset,1,(1-D66/100)*(C66^2+F66^2/12)*O66/1000)</f>
        <v>0.24636569266001804</v>
      </c>
      <c r="K66" s="31">
        <f t="shared" si="48"/>
        <v>4.7999999999999996E-3</v>
      </c>
      <c r="L66" s="31">
        <f t="shared" si="49"/>
        <v>2.6194173944190892E-3</v>
      </c>
      <c r="M66" s="31">
        <f t="shared" ca="1" si="78"/>
        <v>1.1130711350920122</v>
      </c>
      <c r="N66" s="28">
        <f ca="1">IF(Reset=1,150,M66*Rth_typ+$A66)</f>
        <v>117.84441859312841</v>
      </c>
      <c r="O66" s="30">
        <f t="shared" ca="1" si="50"/>
        <v>1045.6532092470163</v>
      </c>
      <c r="P66" s="30">
        <f t="shared" ca="1" si="51"/>
        <v>435.68883718625682</v>
      </c>
      <c r="Q66" s="29">
        <f t="shared" ca="1" si="52"/>
        <v>6.9527353294030512</v>
      </c>
      <c r="R66" s="139">
        <f t="shared" ca="1" si="53"/>
        <v>5.0744525547445258</v>
      </c>
      <c r="S66" s="111">
        <f t="shared" si="54"/>
        <v>0.66666666666666663</v>
      </c>
      <c r="T66" s="102">
        <f t="shared" ca="1" si="55"/>
        <v>69.922964995088606</v>
      </c>
      <c r="U66" s="157">
        <f t="shared" ca="1" si="56"/>
        <v>731</v>
      </c>
      <c r="V66" s="163">
        <f t="shared" ca="1" si="57"/>
        <v>0.25412025167249291</v>
      </c>
      <c r="W66" s="164">
        <f t="shared" si="58"/>
        <v>4.4131917394419094E-2</v>
      </c>
      <c r="X66" s="164">
        <f t="shared" si="59"/>
        <v>6.1272450000000016E-3</v>
      </c>
      <c r="Y66" s="164">
        <f ca="1">IF(Reset,1,T66/100*(S66^2+V66^2/12)*AE66/1000)</f>
        <v>0.29639253533259935</v>
      </c>
      <c r="Z66" s="164">
        <f ca="1">IF(Reset,1,(1-T66/100)*(S66^2+V66^2/12)*AE66/1000)</f>
        <v>0.12749185708900057</v>
      </c>
      <c r="AA66" s="164">
        <f t="shared" si="60"/>
        <v>3.1999999999999997E-3</v>
      </c>
      <c r="AB66" s="164">
        <f t="shared" si="61"/>
        <v>2.6194173944190892E-3</v>
      </c>
      <c r="AC66" s="164">
        <f t="shared" ca="1" si="79"/>
        <v>0.47996297221043804</v>
      </c>
      <c r="AD66" s="32">
        <f ca="1">IF(Reset=1,150,AC66*Rth_typ+$A66)</f>
        <v>96.318741055154902</v>
      </c>
      <c r="AE66" s="165">
        <f t="shared" ca="1" si="62"/>
        <v>942.32995706474344</v>
      </c>
      <c r="AF66" s="165">
        <f t="shared" ca="1" si="63"/>
        <v>392.6374821103098</v>
      </c>
      <c r="AG66" s="160">
        <f t="shared" ca="1" si="64"/>
        <v>7.3760778913891398</v>
      </c>
      <c r="AH66" s="140">
        <f t="shared" ca="1" si="65"/>
        <v>5.0744525547445258</v>
      </c>
      <c r="AI66" s="113">
        <f t="shared" si="66"/>
        <v>0.33333333333333331</v>
      </c>
      <c r="AJ66" s="107">
        <f t="shared" ca="1" si="67"/>
        <v>65.105122177560531</v>
      </c>
      <c r="AK66" s="167">
        <f t="shared" ca="1" si="68"/>
        <v>852</v>
      </c>
      <c r="AL66" s="170">
        <f t="shared" ca="1" si="69"/>
        <v>0.23775342493996651</v>
      </c>
      <c r="AM66" s="171">
        <f t="shared" si="70"/>
        <v>4.4131917394419094E-2</v>
      </c>
      <c r="AN66" s="171">
        <f t="shared" si="71"/>
        <v>3.0636225000000008E-3</v>
      </c>
      <c r="AO66" s="171">
        <f ca="1">IF(Reset,1,AJ66/100*(AI66^2+AL66^2/12)*AU66/1000)</f>
        <v>6.7050769364095542E-2</v>
      </c>
      <c r="AP66" s="171">
        <f ca="1">IF(Reset,1,(1-AJ66/100)*(AI66^2+AL66^2/12)*AU66/1000)</f>
        <v>3.5937700853698802E-2</v>
      </c>
      <c r="AQ66" s="171">
        <f t="shared" si="72"/>
        <v>1.5999999999999999E-3</v>
      </c>
      <c r="AR66" s="171">
        <f t="shared" si="73"/>
        <v>2.6194173944190892E-3</v>
      </c>
      <c r="AS66" s="171">
        <f t="shared" ca="1" si="80"/>
        <v>0.15440342750663252</v>
      </c>
      <c r="AT66" s="34">
        <f ca="1">IF(Reset=1,150,AS66*Rth_typ+$A66)</f>
        <v>85.249716535225502</v>
      </c>
      <c r="AU66" s="172">
        <f t="shared" ca="1" si="74"/>
        <v>889.19863936908246</v>
      </c>
      <c r="AV66" s="172">
        <f t="shared" ca="1" si="75"/>
        <v>370.499433070451</v>
      </c>
      <c r="AW66" s="173">
        <f t="shared" ca="1" si="76"/>
        <v>7.7155056278816927</v>
      </c>
      <c r="AX66" s="141">
        <f t="shared" ca="1" si="77"/>
        <v>5.0744525547445258</v>
      </c>
    </row>
    <row r="67" spans="1:50" s="43" customFormat="1" ht="12.75" customHeight="1" x14ac:dyDescent="0.25">
      <c r="A67" s="27">
        <f t="shared" si="40"/>
        <v>80</v>
      </c>
      <c r="B67" s="109">
        <f t="shared" si="41"/>
        <v>8.0850000000000026</v>
      </c>
      <c r="C67" s="110">
        <f t="shared" si="42"/>
        <v>1</v>
      </c>
      <c r="D67" s="99">
        <f t="shared" ca="1" si="43"/>
        <v>78.947339957962541</v>
      </c>
      <c r="E67" s="155">
        <f t="shared" ca="1" si="44"/>
        <v>506</v>
      </c>
      <c r="F67" s="100">
        <f t="shared" ca="1" si="45"/>
        <v>0.26580036293411963</v>
      </c>
      <c r="G67" s="31">
        <f t="shared" si="46"/>
        <v>4.297579670386973E-2</v>
      </c>
      <c r="H67" s="31">
        <f t="shared" si="47"/>
        <v>8.7156300000000055E-3</v>
      </c>
      <c r="I67" s="31">
        <f ca="1">IF(Reset,1,D67/100*(C67^2+F67^2/12)*O67/1000)</f>
        <v>0.83003147111096809</v>
      </c>
      <c r="J67" s="31">
        <f ca="1">IF(Reset,1,(1-D67/100)*(C67^2+F67^2/12)*O67/1000)</f>
        <v>0.22134210468390841</v>
      </c>
      <c r="K67" s="31">
        <f t="shared" si="48"/>
        <v>4.7999999999999996E-3</v>
      </c>
      <c r="L67" s="31">
        <f t="shared" si="49"/>
        <v>2.5507967038697187E-3</v>
      </c>
      <c r="M67" s="31">
        <f t="shared" ca="1" si="78"/>
        <v>1.110415799202616</v>
      </c>
      <c r="N67" s="28">
        <f ca="1">IF(Reset=1,150,M67*Rth_typ+$A67)</f>
        <v>117.75413717288895</v>
      </c>
      <c r="O67" s="30">
        <f t="shared" ca="1" si="50"/>
        <v>1045.2198584298669</v>
      </c>
      <c r="P67" s="30">
        <f t="shared" ca="1" si="51"/>
        <v>435.50827434577786</v>
      </c>
      <c r="Q67" s="29">
        <f t="shared" ca="1" si="52"/>
        <v>6.7430550854289955</v>
      </c>
      <c r="R67" s="139">
        <f t="shared" ca="1" si="53"/>
        <v>5.0744525547445258</v>
      </c>
      <c r="S67" s="111">
        <f t="shared" si="54"/>
        <v>0.66666666666666663</v>
      </c>
      <c r="T67" s="102">
        <f t="shared" ca="1" si="55"/>
        <v>71.95891173219087</v>
      </c>
      <c r="U67" s="157">
        <f t="shared" ca="1" si="56"/>
        <v>681</v>
      </c>
      <c r="V67" s="163">
        <f t="shared" ca="1" si="57"/>
        <v>0.24373470681279949</v>
      </c>
      <c r="W67" s="164">
        <f t="shared" si="58"/>
        <v>4.297579670386973E-2</v>
      </c>
      <c r="X67" s="164">
        <f t="shared" si="59"/>
        <v>5.8104200000000036E-3</v>
      </c>
      <c r="Y67" s="164">
        <f ca="1">IF(Reset,1,T67/100*(S67^2+V67^2/12)*AE67/1000)</f>
        <v>0.30461950353075212</v>
      </c>
      <c r="Z67" s="164">
        <f ca="1">IF(Reset,1,(1-T67/100)*(S67^2+V67^2/12)*AE67/1000)</f>
        <v>0.11870471885945447</v>
      </c>
      <c r="AA67" s="164">
        <f t="shared" si="60"/>
        <v>3.1999999999999997E-3</v>
      </c>
      <c r="AB67" s="164">
        <f t="shared" si="61"/>
        <v>2.5507967038697187E-3</v>
      </c>
      <c r="AC67" s="164">
        <f t="shared" ca="1" si="79"/>
        <v>0.47786123579794604</v>
      </c>
      <c r="AD67" s="32">
        <f ca="1">IF(Reset=1,150,AC67*Rth_typ+$A67)</f>
        <v>96.247282017130161</v>
      </c>
      <c r="AE67" s="165">
        <f t="shared" ca="1" si="62"/>
        <v>941.98695368222479</v>
      </c>
      <c r="AF67" s="165">
        <f t="shared" ca="1" si="63"/>
        <v>392.49456403426029</v>
      </c>
      <c r="AG67" s="160">
        <f t="shared" ca="1" si="64"/>
        <v>7.166197025043874</v>
      </c>
      <c r="AH67" s="140">
        <f t="shared" ca="1" si="65"/>
        <v>5.0744525547445258</v>
      </c>
      <c r="AI67" s="113">
        <f t="shared" si="66"/>
        <v>0.33333333333333331</v>
      </c>
      <c r="AJ67" s="107">
        <f t="shared" ca="1" si="67"/>
        <v>66.921842013284618</v>
      </c>
      <c r="AK67" s="167">
        <f t="shared" ca="1" si="68"/>
        <v>806</v>
      </c>
      <c r="AL67" s="170">
        <f t="shared" ca="1" si="69"/>
        <v>0.22784766008863352</v>
      </c>
      <c r="AM67" s="171">
        <f t="shared" si="70"/>
        <v>4.297579670386973E-2</v>
      </c>
      <c r="AN67" s="171">
        <f t="shared" si="71"/>
        <v>2.9052100000000018E-3</v>
      </c>
      <c r="AO67" s="171">
        <f ca="1">IF(Reset,1,AJ67/100*(AI67^2+AL67^2/12)*AU67/1000)</f>
        <v>6.8670905464009918E-2</v>
      </c>
      <c r="AP67" s="171">
        <f ca="1">IF(Reset,1,(1-AJ67/100)*(AI67^2+AL67^2/12)*AU67/1000)</f>
        <v>3.3942685851032037E-2</v>
      </c>
      <c r="AQ67" s="171">
        <f t="shared" si="72"/>
        <v>1.5999999999999999E-3</v>
      </c>
      <c r="AR67" s="171">
        <f t="shared" si="73"/>
        <v>2.5507967038697187E-3</v>
      </c>
      <c r="AS67" s="171">
        <f t="shared" ca="1" si="80"/>
        <v>0.15264539472278138</v>
      </c>
      <c r="AT67" s="34">
        <f ca="1">IF(Reset=1,150,AS67*Rth_typ+$A67)</f>
        <v>85.189943420574565</v>
      </c>
      <c r="AU67" s="172">
        <f t="shared" ca="1" si="74"/>
        <v>888.91172841875789</v>
      </c>
      <c r="AV67" s="172">
        <f t="shared" ca="1" si="75"/>
        <v>370.37988684114913</v>
      </c>
      <c r="AW67" s="173">
        <f t="shared" ca="1" si="76"/>
        <v>7.505494368064964</v>
      </c>
      <c r="AX67" s="141">
        <f t="shared" ca="1" si="77"/>
        <v>5.0744525547445258</v>
      </c>
    </row>
    <row r="68" spans="1:50" s="43" customFormat="1" ht="12.75" customHeight="1" x14ac:dyDescent="0.25">
      <c r="A68" s="27">
        <f t="shared" si="40"/>
        <v>80</v>
      </c>
      <c r="B68" s="109">
        <f t="shared" si="41"/>
        <v>7.8675000000000033</v>
      </c>
      <c r="C68" s="110">
        <f t="shared" si="42"/>
        <v>1</v>
      </c>
      <c r="D68" s="99">
        <f t="shared" ca="1" si="43"/>
        <v>81.456255797934091</v>
      </c>
      <c r="E68" s="155">
        <f t="shared" ca="1" si="44"/>
        <v>443</v>
      </c>
      <c r="F68" s="100">
        <f t="shared" ca="1" si="45"/>
        <v>0.25411588907791521</v>
      </c>
      <c r="G68" s="31">
        <f t="shared" si="46"/>
        <v>4.1819676013320366E-2</v>
      </c>
      <c r="H68" s="31">
        <f t="shared" si="47"/>
        <v>8.2530075000000081E-3</v>
      </c>
      <c r="I68" s="31">
        <f ca="1">IF(Reset,1,D68/100*(C68^2+F68^2/12)*O68/1000)</f>
        <v>0.85562414623221439</v>
      </c>
      <c r="J68" s="31">
        <f ca="1">IF(Reset,1,(1-D68/100)*(C68^2+F68^2/12)*O68/1000)</f>
        <v>0.19478522730286876</v>
      </c>
      <c r="K68" s="31">
        <f t="shared" si="48"/>
        <v>4.7999999999999996E-3</v>
      </c>
      <c r="L68" s="31">
        <f t="shared" si="49"/>
        <v>2.4821760133203479E-3</v>
      </c>
      <c r="M68" s="31">
        <f t="shared" ca="1" si="78"/>
        <v>1.1077642330617239</v>
      </c>
      <c r="N68" s="28">
        <f ca="1">IF(Reset=1,150,M68*Rth_typ+$A68)</f>
        <v>117.6639839240986</v>
      </c>
      <c r="O68" s="30">
        <f t="shared" ca="1" si="50"/>
        <v>1044.7871228356732</v>
      </c>
      <c r="P68" s="30">
        <f t="shared" ca="1" si="51"/>
        <v>435.3279678481972</v>
      </c>
      <c r="Q68" s="29">
        <f t="shared" ca="1" si="52"/>
        <v>6.533374238433904</v>
      </c>
      <c r="R68" s="139">
        <f t="shared" ca="1" si="53"/>
        <v>5.0744525547445258</v>
      </c>
      <c r="S68" s="111">
        <f t="shared" si="54"/>
        <v>0.66666666666666663</v>
      </c>
      <c r="T68" s="102">
        <f t="shared" ca="1" si="55"/>
        <v>74.117065328802752</v>
      </c>
      <c r="U68" s="157">
        <f t="shared" ca="1" si="56"/>
        <v>627</v>
      </c>
      <c r="V68" s="163">
        <f t="shared" ca="1" si="57"/>
        <v>0.23272651374750955</v>
      </c>
      <c r="W68" s="164">
        <f t="shared" si="58"/>
        <v>4.1819676013320366E-2</v>
      </c>
      <c r="X68" s="164">
        <f t="shared" si="59"/>
        <v>5.5020050000000051E-3</v>
      </c>
      <c r="Y68" s="164">
        <f ca="1">IF(Reset,1,T68/100*(S68^2+V68^2/12)*AE68/1000)</f>
        <v>0.31333636372791696</v>
      </c>
      <c r="Z68" s="164">
        <f ca="1">IF(Reset,1,(1-T68/100)*(S68^2+V68^2/12)*AE68/1000)</f>
        <v>0.10942236577368242</v>
      </c>
      <c r="AA68" s="164">
        <f t="shared" si="60"/>
        <v>3.1999999999999997E-3</v>
      </c>
      <c r="AB68" s="164">
        <f t="shared" si="61"/>
        <v>2.4821760133203479E-3</v>
      </c>
      <c r="AC68" s="164">
        <f t="shared" ca="1" si="79"/>
        <v>0.47576258652824005</v>
      </c>
      <c r="AD68" s="32">
        <f ca="1">IF(Reset=1,150,AC68*Rth_typ+$A68)</f>
        <v>96.175927941960168</v>
      </c>
      <c r="AE68" s="165">
        <f t="shared" ca="1" si="62"/>
        <v>941.64445412140878</v>
      </c>
      <c r="AF68" s="165">
        <f t="shared" ca="1" si="63"/>
        <v>392.35185588392034</v>
      </c>
      <c r="AG68" s="160">
        <f t="shared" ca="1" si="64"/>
        <v>6.9563158294791148</v>
      </c>
      <c r="AH68" s="140">
        <f t="shared" ca="1" si="65"/>
        <v>5.0744525547445258</v>
      </c>
      <c r="AI68" s="113">
        <f t="shared" si="66"/>
        <v>0.33333333333333331</v>
      </c>
      <c r="AJ68" s="107">
        <f t="shared" ca="1" si="67"/>
        <v>68.842894057961075</v>
      </c>
      <c r="AK68" s="167">
        <f t="shared" ca="1" si="68"/>
        <v>758</v>
      </c>
      <c r="AL68" s="170">
        <f t="shared" ca="1" si="69"/>
        <v>0.21737330060143853</v>
      </c>
      <c r="AM68" s="171">
        <f t="shared" si="70"/>
        <v>4.1819676013320366E-2</v>
      </c>
      <c r="AN68" s="171">
        <f t="shared" si="71"/>
        <v>2.7510025000000026E-3</v>
      </c>
      <c r="AO68" s="171">
        <f ca="1">IF(Reset,1,AJ68/100*(AI68^2+AL68^2/12)*AU68/1000)</f>
        <v>7.0381634887573347E-2</v>
      </c>
      <c r="AP68" s="171">
        <f ca="1">IF(Reset,1,(1-AJ68/100)*(AI68^2+AL68^2/12)*AU68/1000)</f>
        <v>3.1853513490001761E-2</v>
      </c>
      <c r="AQ68" s="171">
        <f t="shared" si="72"/>
        <v>1.5999999999999999E-3</v>
      </c>
      <c r="AR68" s="171">
        <f t="shared" si="73"/>
        <v>2.4821760133203479E-3</v>
      </c>
      <c r="AS68" s="171">
        <f t="shared" ca="1" si="80"/>
        <v>0.15088800290421581</v>
      </c>
      <c r="AT68" s="34">
        <f ca="1">IF(Reset=1,150,AS68*Rth_typ+$A68)</f>
        <v>85.130192098743336</v>
      </c>
      <c r="AU68" s="172">
        <f t="shared" ca="1" si="74"/>
        <v>888.62492207396804</v>
      </c>
      <c r="AV68" s="172">
        <f t="shared" ca="1" si="75"/>
        <v>370.2603841974867</v>
      </c>
      <c r="AW68" s="173">
        <f t="shared" ca="1" si="76"/>
        <v>7.2954830740712806</v>
      </c>
      <c r="AX68" s="141">
        <f t="shared" ca="1" si="77"/>
        <v>5.0744525547445258</v>
      </c>
    </row>
    <row r="69" spans="1:50" s="43" customFormat="1" ht="12.75" customHeight="1" x14ac:dyDescent="0.25">
      <c r="A69" s="27">
        <f t="shared" si="40"/>
        <v>80</v>
      </c>
      <c r="B69" s="109">
        <f t="shared" si="41"/>
        <v>7.650000000000003</v>
      </c>
      <c r="C69" s="110">
        <f t="shared" si="42"/>
        <v>1</v>
      </c>
      <c r="D69" s="99">
        <f t="shared" ca="1" si="43"/>
        <v>84.130079165443462</v>
      </c>
      <c r="E69" s="155">
        <f t="shared" ca="1" si="44"/>
        <v>376</v>
      </c>
      <c r="F69" s="100">
        <f t="shared" ca="1" si="45"/>
        <v>0.24166498027410463</v>
      </c>
      <c r="G69" s="31">
        <f t="shared" si="46"/>
        <v>4.0663555322770988E-2</v>
      </c>
      <c r="H69" s="31">
        <f t="shared" si="47"/>
        <v>7.803000000000007E-3</v>
      </c>
      <c r="I69" s="31">
        <f ca="1">IF(Reset,1,D69/100*(C69^2+F69^2/12)*O69/1000)</f>
        <v>0.88289299551476519</v>
      </c>
      <c r="J69" s="31">
        <f ca="1">IF(Reset,1,(1-D69/100)*(C69^2+F69^2/12)*O69/1000)</f>
        <v>0.16654497515270403</v>
      </c>
      <c r="K69" s="31">
        <f t="shared" si="48"/>
        <v>4.7999999999999996E-3</v>
      </c>
      <c r="L69" s="31">
        <f t="shared" si="49"/>
        <v>2.413555322770977E-3</v>
      </c>
      <c r="M69" s="31">
        <f t="shared" ca="1" si="78"/>
        <v>1.105118081313011</v>
      </c>
      <c r="N69" s="28">
        <f ca="1">IF(Reset=1,150,M69*Rth_typ+$A69)</f>
        <v>117.57401476464238</v>
      </c>
      <c r="O69" s="30">
        <f t="shared" ca="1" si="50"/>
        <v>1044.3552708702834</v>
      </c>
      <c r="P69" s="30">
        <f t="shared" ca="1" si="51"/>
        <v>435.14802952928477</v>
      </c>
      <c r="Q69" s="29">
        <f t="shared" ca="1" si="52"/>
        <v>6.3236925253353125</v>
      </c>
      <c r="R69" s="139">
        <f t="shared" ca="1" si="53"/>
        <v>5.0744525547445258</v>
      </c>
      <c r="S69" s="111">
        <f t="shared" si="54"/>
        <v>0.66666666666666663</v>
      </c>
      <c r="T69" s="102">
        <f t="shared" ca="1" si="55"/>
        <v>76.408771639270554</v>
      </c>
      <c r="U69" s="157">
        <f t="shared" ca="1" si="56"/>
        <v>569</v>
      </c>
      <c r="V69" s="163">
        <f t="shared" ca="1" si="57"/>
        <v>0.22103788283619702</v>
      </c>
      <c r="W69" s="164">
        <f t="shared" si="58"/>
        <v>4.0663555322770988E-2</v>
      </c>
      <c r="X69" s="164">
        <f t="shared" si="59"/>
        <v>5.2020000000000044E-3</v>
      </c>
      <c r="Y69" s="164">
        <f ca="1">IF(Reset,1,T69/100*(S69^2+V69^2/12)*AE69/1000)</f>
        <v>0.32258961083901083</v>
      </c>
      <c r="Z69" s="164">
        <f ca="1">IF(Reset,1,(1-T69/100)*(S69^2+V69^2/12)*AE69/1000)</f>
        <v>9.9599627278795497E-2</v>
      </c>
      <c r="AA69" s="164">
        <f t="shared" si="60"/>
        <v>3.1999999999999997E-3</v>
      </c>
      <c r="AB69" s="164">
        <f t="shared" si="61"/>
        <v>2.413555322770977E-3</v>
      </c>
      <c r="AC69" s="164">
        <f t="shared" ca="1" si="79"/>
        <v>0.47366834876334829</v>
      </c>
      <c r="AD69" s="32">
        <f ca="1">IF(Reset=1,150,AC69*Rth_typ+$A69)</f>
        <v>96.104723857953843</v>
      </c>
      <c r="AE69" s="165">
        <f t="shared" ca="1" si="62"/>
        <v>941.30267451817849</v>
      </c>
      <c r="AF69" s="165">
        <f t="shared" ca="1" si="63"/>
        <v>392.20944771590769</v>
      </c>
      <c r="AG69" s="160">
        <f t="shared" ca="1" si="64"/>
        <v>6.7464341634620686</v>
      </c>
      <c r="AH69" s="140">
        <f t="shared" ca="1" si="65"/>
        <v>5.0744525547445258</v>
      </c>
      <c r="AI69" s="113">
        <f t="shared" si="66"/>
        <v>0.33333333333333331</v>
      </c>
      <c r="AJ69" s="107">
        <f t="shared" ca="1" si="67"/>
        <v>70.877532483531297</v>
      </c>
      <c r="AK69" s="167">
        <f t="shared" ca="1" si="68"/>
        <v>708</v>
      </c>
      <c r="AL69" s="170">
        <f t="shared" ca="1" si="69"/>
        <v>0.2062799204170109</v>
      </c>
      <c r="AM69" s="171">
        <f t="shared" si="70"/>
        <v>4.0663555322770988E-2</v>
      </c>
      <c r="AN69" s="171">
        <f t="shared" si="71"/>
        <v>2.6010000000000022E-3</v>
      </c>
      <c r="AO69" s="171">
        <f ca="1">IF(Reset,1,AJ69/100*(AI69^2+AL69^2/12)*AU69/1000)</f>
        <v>7.219179413335379E-2</v>
      </c>
      <c r="AP69" s="171">
        <f ca="1">IF(Reset,1,(1-AJ69/100)*(AI69^2+AL69^2/12)*AU69/1000)</f>
        <v>2.9662477035197206E-2</v>
      </c>
      <c r="AQ69" s="171">
        <f t="shared" si="72"/>
        <v>1.5999999999999999E-3</v>
      </c>
      <c r="AR69" s="171">
        <f t="shared" si="73"/>
        <v>2.413555322770977E-3</v>
      </c>
      <c r="AS69" s="171">
        <f t="shared" ca="1" si="80"/>
        <v>0.14913238181409297</v>
      </c>
      <c r="AT69" s="34">
        <f ca="1">IF(Reset=1,150,AS69*Rth_typ+$A69)</f>
        <v>85.07050098167916</v>
      </c>
      <c r="AU69" s="172">
        <f t="shared" ca="1" si="74"/>
        <v>888.33840471205997</v>
      </c>
      <c r="AV69" s="172">
        <f t="shared" ca="1" si="75"/>
        <v>370.14100196335835</v>
      </c>
      <c r="AW69" s="173">
        <f t="shared" ca="1" si="76"/>
        <v>7.0854716856604671</v>
      </c>
      <c r="AX69" s="141">
        <f t="shared" ca="1" si="77"/>
        <v>5.0744525547445258</v>
      </c>
    </row>
    <row r="70" spans="1:50" s="43" customFormat="1" ht="12.75" customHeight="1" x14ac:dyDescent="0.25">
      <c r="A70" s="27">
        <f t="shared" si="40"/>
        <v>80</v>
      </c>
      <c r="B70" s="109">
        <f t="shared" si="41"/>
        <v>7.4325000000000028</v>
      </c>
      <c r="C70" s="110">
        <f t="shared" si="42"/>
        <v>1</v>
      </c>
      <c r="D70" s="99">
        <f t="shared" ca="1" si="43"/>
        <v>86.985628209171111</v>
      </c>
      <c r="E70" s="155">
        <f t="shared" ca="1" si="44"/>
        <v>305</v>
      </c>
      <c r="F70" s="100">
        <f t="shared" ca="1" si="45"/>
        <v>0.22836952089779988</v>
      </c>
      <c r="G70" s="31">
        <f t="shared" si="46"/>
        <v>3.9507434632221623E-2</v>
      </c>
      <c r="H70" s="31">
        <f t="shared" si="47"/>
        <v>7.3656075000000055E-3</v>
      </c>
      <c r="I70" s="31">
        <f ca="1">IF(Reset,1,D70/100*(C70^2+F70^2/12)*O70/1000)</f>
        <v>0.91201092909984405</v>
      </c>
      <c r="J70" s="31">
        <f ca="1">IF(Reset,1,(1-D70/100)*(C70^2+F70^2/12)*O70/1000)</f>
        <v>0.1364506936716387</v>
      </c>
      <c r="K70" s="31">
        <f t="shared" si="48"/>
        <v>4.7999999999999996E-3</v>
      </c>
      <c r="L70" s="31">
        <f t="shared" si="49"/>
        <v>2.3449346322216061E-3</v>
      </c>
      <c r="M70" s="31">
        <f t="shared" ca="1" si="78"/>
        <v>1.1024795995359258</v>
      </c>
      <c r="N70" s="28">
        <f ca="1">IF(Reset=1,150,M70*Rth_typ+$A70)</f>
        <v>117.48430638422147</v>
      </c>
      <c r="O70" s="30">
        <f t="shared" ca="1" si="50"/>
        <v>1043.924670644263</v>
      </c>
      <c r="P70" s="30">
        <f t="shared" ca="1" si="51"/>
        <v>434.96861276844294</v>
      </c>
      <c r="Q70" s="29">
        <f t="shared" ca="1" si="52"/>
        <v>6.114009585323517</v>
      </c>
      <c r="R70" s="139">
        <f t="shared" ca="1" si="53"/>
        <v>5.0744525547445258</v>
      </c>
      <c r="S70" s="111">
        <f t="shared" si="54"/>
        <v>0.66666666666666663</v>
      </c>
      <c r="T70" s="102">
        <f t="shared" ca="1" si="55"/>
        <v>78.846826558421327</v>
      </c>
      <c r="U70" s="157">
        <f t="shared" ca="1" si="56"/>
        <v>508</v>
      </c>
      <c r="V70" s="163">
        <f t="shared" ca="1" si="57"/>
        <v>0.20860364402684139</v>
      </c>
      <c r="W70" s="164">
        <f t="shared" si="58"/>
        <v>3.9507434632221623E-2</v>
      </c>
      <c r="X70" s="164">
        <f t="shared" si="59"/>
        <v>4.910405000000004E-3</v>
      </c>
      <c r="Y70" s="164">
        <f ca="1">IF(Reset,1,T70/100*(S70^2+V70^2/12)*AE70/1000)</f>
        <v>0.33243201044237214</v>
      </c>
      <c r="Z70" s="164">
        <f ca="1">IF(Reset,1,(1-T70/100)*(S70^2+V70^2/12)*AE70/1000)</f>
        <v>8.9185478748594366E-2</v>
      </c>
      <c r="AA70" s="164">
        <f t="shared" si="60"/>
        <v>3.1999999999999997E-3</v>
      </c>
      <c r="AB70" s="164">
        <f t="shared" si="61"/>
        <v>2.3449346322216061E-3</v>
      </c>
      <c r="AC70" s="164">
        <f t="shared" ca="1" si="79"/>
        <v>0.47158026345540971</v>
      </c>
      <c r="AD70" s="32">
        <f ca="1">IF(Reset=1,150,AC70*Rth_typ+$A70)</f>
        <v>96.03372895748393</v>
      </c>
      <c r="AE70" s="165">
        <f t="shared" ca="1" si="62"/>
        <v>940.96189899592287</v>
      </c>
      <c r="AF70" s="165">
        <f t="shared" ca="1" si="63"/>
        <v>392.06745791496786</v>
      </c>
      <c r="AG70" s="160">
        <f t="shared" ca="1" si="64"/>
        <v>6.536551841333889</v>
      </c>
      <c r="AH70" s="140">
        <f t="shared" ca="1" si="65"/>
        <v>5.0744525547445258</v>
      </c>
      <c r="AI70" s="113">
        <f t="shared" si="66"/>
        <v>0.33333333333333331</v>
      </c>
      <c r="AJ70" s="107">
        <f t="shared" ca="1" si="67"/>
        <v>73.036139495364736</v>
      </c>
      <c r="AK70" s="167">
        <f t="shared" ca="1" si="68"/>
        <v>654</v>
      </c>
      <c r="AL70" s="170">
        <f t="shared" ca="1" si="69"/>
        <v>0.19451094871452734</v>
      </c>
      <c r="AM70" s="171">
        <f t="shared" si="70"/>
        <v>3.9507434632221623E-2</v>
      </c>
      <c r="AN70" s="171">
        <f t="shared" si="71"/>
        <v>2.455202500000002E-3</v>
      </c>
      <c r="AO70" s="171">
        <f ca="1">IF(Reset,1,AJ70/100*(AI70^2+AL70^2/12)*AU70/1000)</f>
        <v>7.4111530370871009E-2</v>
      </c>
      <c r="AP70" s="171">
        <f ca="1">IF(Reset,1,(1-AJ70/100)*(AI70^2+AL70^2/12)*AU70/1000)</f>
        <v>2.7360878881502633E-2</v>
      </c>
      <c r="AQ70" s="171">
        <f t="shared" si="72"/>
        <v>1.5999999999999999E-3</v>
      </c>
      <c r="AR70" s="171">
        <f t="shared" si="73"/>
        <v>2.3449346322216061E-3</v>
      </c>
      <c r="AS70" s="171">
        <f t="shared" ca="1" si="80"/>
        <v>0.14737998101681685</v>
      </c>
      <c r="AT70" s="34">
        <f ca="1">IF(Reset=1,150,AS70*Rth_typ+$A70)</f>
        <v>85.010919354571769</v>
      </c>
      <c r="AU70" s="172">
        <f t="shared" ca="1" si="74"/>
        <v>888.05241290194454</v>
      </c>
      <c r="AV70" s="172">
        <f t="shared" ca="1" si="75"/>
        <v>370.02183870914354</v>
      </c>
      <c r="AW70" s="173">
        <f t="shared" ca="1" si="76"/>
        <v>6.8754601255402061</v>
      </c>
      <c r="AX70" s="141">
        <f t="shared" ca="1" si="77"/>
        <v>5.0744525547445258</v>
      </c>
    </row>
    <row r="71" spans="1:50" s="43" customFormat="1" ht="12.75" customHeight="1" x14ac:dyDescent="0.25">
      <c r="A71" s="27">
        <f t="shared" si="40"/>
        <v>80</v>
      </c>
      <c r="B71" s="109">
        <f t="shared" si="41"/>
        <v>7.2150000000000025</v>
      </c>
      <c r="C71" s="110">
        <f t="shared" si="42"/>
        <v>1</v>
      </c>
      <c r="D71" s="99">
        <f t="shared" ca="1" si="43"/>
        <v>90.04209092957754</v>
      </c>
      <c r="E71" s="155">
        <f t="shared" ca="1" si="44"/>
        <v>228</v>
      </c>
      <c r="F71" s="100">
        <f t="shared" ca="1" si="45"/>
        <v>0.21414040472274243</v>
      </c>
      <c r="G71" s="31">
        <f t="shared" si="46"/>
        <v>3.8351313941672245E-2</v>
      </c>
      <c r="H71" s="31">
        <f t="shared" si="47"/>
        <v>6.9408300000000055E-3</v>
      </c>
      <c r="I71" s="31">
        <f ca="1">IF(Reset,1,D71/100*(C71^2+F71^2/12)*O71/1000)</f>
        <v>0.94317593224027918</v>
      </c>
      <c r="J71" s="31">
        <f ca="1">IF(Reset,1,(1-D71/100)*(C71^2+F71^2/12)*O71/1000)</f>
        <v>0.10430744192741168</v>
      </c>
      <c r="K71" s="31">
        <f t="shared" si="48"/>
        <v>4.7999999999999996E-3</v>
      </c>
      <c r="L71" s="31">
        <f t="shared" si="49"/>
        <v>2.2763139416722348E-3</v>
      </c>
      <c r="M71" s="31">
        <f t="shared" ca="1" si="78"/>
        <v>1.0998518320510351</v>
      </c>
      <c r="N71" s="28">
        <f ca="1">IF(Reset=1,150,M71*Rth_typ+$A71)</f>
        <v>117.39496228973519</v>
      </c>
      <c r="O71" s="30">
        <f t="shared" ca="1" si="50"/>
        <v>1043.4958189907288</v>
      </c>
      <c r="P71" s="30">
        <f t="shared" ca="1" si="51"/>
        <v>434.78992457947038</v>
      </c>
      <c r="Q71" s="29">
        <f t="shared" ca="1" si="52"/>
        <v>5.9043249314192563</v>
      </c>
      <c r="R71" s="139">
        <f t="shared" ca="1" si="53"/>
        <v>5.0744525547445258</v>
      </c>
      <c r="S71" s="111">
        <f t="shared" si="54"/>
        <v>0.66666666666666663</v>
      </c>
      <c r="T71" s="102">
        <f t="shared" ca="1" si="55"/>
        <v>81.445715497507209</v>
      </c>
      <c r="U71" s="157">
        <f t="shared" ca="1" si="56"/>
        <v>443</v>
      </c>
      <c r="V71" s="163">
        <f t="shared" ca="1" si="57"/>
        <v>0.1953500292864834</v>
      </c>
      <c r="W71" s="164">
        <f t="shared" si="58"/>
        <v>3.8351313941672245E-2</v>
      </c>
      <c r="X71" s="164">
        <f t="shared" si="59"/>
        <v>4.6272200000000031E-3</v>
      </c>
      <c r="Y71" s="164">
        <f ca="1">IF(Reset,1,T71/100*(S71^2+V71^2/12)*AE71/1000)</f>
        <v>0.34292372452539061</v>
      </c>
      <c r="Z71" s="164">
        <f ca="1">IF(Reset,1,(1-T71/100)*(S71^2+V71^2/12)*AE71/1000)</f>
        <v>7.8122026537949724E-2</v>
      </c>
      <c r="AA71" s="164">
        <f t="shared" si="60"/>
        <v>3.1999999999999997E-3</v>
      </c>
      <c r="AB71" s="164">
        <f t="shared" si="61"/>
        <v>2.2763139416722348E-3</v>
      </c>
      <c r="AC71" s="164">
        <f t="shared" ca="1" si="79"/>
        <v>0.46950059894668478</v>
      </c>
      <c r="AD71" s="32">
        <f ca="1">IF(Reset=1,150,AC71*Rth_typ+$A71)</f>
        <v>95.963020364187287</v>
      </c>
      <c r="AE71" s="165">
        <f t="shared" ca="1" si="62"/>
        <v>940.62249774809902</v>
      </c>
      <c r="AF71" s="165">
        <f t="shared" ca="1" si="63"/>
        <v>391.92604072837457</v>
      </c>
      <c r="AG71" s="160">
        <f t="shared" ca="1" si="64"/>
        <v>6.3266686211937166</v>
      </c>
      <c r="AH71" s="140">
        <f t="shared" ca="1" si="65"/>
        <v>5.0744525547445258</v>
      </c>
      <c r="AI71" s="113">
        <f t="shared" si="66"/>
        <v>0.33333333333333331</v>
      </c>
      <c r="AJ71" s="107">
        <f t="shared" ca="1" si="67"/>
        <v>75.330402668572759</v>
      </c>
      <c r="AK71" s="167">
        <f t="shared" ca="1" si="68"/>
        <v>596</v>
      </c>
      <c r="AL71" s="170">
        <f t="shared" ca="1" si="69"/>
        <v>0.18200270434772584</v>
      </c>
      <c r="AM71" s="171">
        <f t="shared" si="70"/>
        <v>3.8351313941672245E-2</v>
      </c>
      <c r="AN71" s="171">
        <f t="shared" si="71"/>
        <v>2.3136100000000015E-3</v>
      </c>
      <c r="AO71" s="171">
        <f ca="1">IF(Reset,1,AJ71/100*(AI71^2+AL71^2/12)*AU71/1000)</f>
        <v>7.6152567522209905E-2</v>
      </c>
      <c r="AP71" s="171">
        <f ca="1">IF(Reset,1,(1-AJ71/100)*(AI71^2+AL71^2/12)*AU71/1000)</f>
        <v>2.4938844211316043E-2</v>
      </c>
      <c r="AQ71" s="171">
        <f t="shared" si="72"/>
        <v>1.5999999999999999E-3</v>
      </c>
      <c r="AR71" s="171">
        <f t="shared" si="73"/>
        <v>2.2763139416722348E-3</v>
      </c>
      <c r="AS71" s="171">
        <f t="shared" ca="1" si="80"/>
        <v>0.14563264961687042</v>
      </c>
      <c r="AT71" s="34">
        <f ca="1">IF(Reset=1,150,AS71*Rth_typ+$A71)</f>
        <v>84.951510086973599</v>
      </c>
      <c r="AU71" s="172">
        <f t="shared" ca="1" si="74"/>
        <v>887.76724841747318</v>
      </c>
      <c r="AV71" s="172">
        <f t="shared" ca="1" si="75"/>
        <v>369.9030201739472</v>
      </c>
      <c r="AW71" s="173">
        <f t="shared" ca="1" si="76"/>
        <v>6.6654482951142713</v>
      </c>
      <c r="AX71" s="141">
        <f t="shared" ca="1" si="77"/>
        <v>5.0744525547445258</v>
      </c>
    </row>
    <row r="72" spans="1:50" s="43" customFormat="1" ht="12.75" customHeight="1" x14ac:dyDescent="0.25">
      <c r="A72" s="27">
        <f t="shared" si="40"/>
        <v>80</v>
      </c>
      <c r="B72" s="109">
        <f t="shared" si="41"/>
        <v>6.9975000000000023</v>
      </c>
      <c r="C72" s="110">
        <f t="shared" si="42"/>
        <v>1</v>
      </c>
      <c r="D72" s="99">
        <f t="shared" ca="1" si="43"/>
        <v>93.321458543713518</v>
      </c>
      <c r="E72" s="155">
        <f t="shared" ca="1" si="44"/>
        <v>146</v>
      </c>
      <c r="F72" s="100">
        <f t="shared" ca="1" si="45"/>
        <v>0.19887552975447784</v>
      </c>
      <c r="G72" s="31">
        <f t="shared" si="46"/>
        <v>3.7195193251122874E-2</v>
      </c>
      <c r="H72" s="31">
        <f t="shared" si="47"/>
        <v>6.5286675000000042E-3</v>
      </c>
      <c r="I72" s="31">
        <f ca="1">IF(Reset,1,D72/100*(C72^2+F72^2/12)*O72/1000)</f>
        <v>0.97661586734926387</v>
      </c>
      <c r="J72" s="31">
        <f ca="1">IF(Reset,1,(1-D72/100)*(C72^2+F72^2/12)*O72/1000)</f>
        <v>6.989142324542684E-2</v>
      </c>
      <c r="K72" s="31">
        <f t="shared" si="48"/>
        <v>4.7999999999999996E-3</v>
      </c>
      <c r="L72" s="31">
        <f t="shared" si="49"/>
        <v>2.207693251122864E-3</v>
      </c>
      <c r="M72" s="31">
        <f t="shared" ca="1" si="78"/>
        <v>1.0972388445969363</v>
      </c>
      <c r="N72" s="28">
        <f ca="1">IF(Reset=1,150,M72*Rth_typ+$A72)</f>
        <v>117.30612071629584</v>
      </c>
      <c r="O72" s="30">
        <f t="shared" ca="1" si="50"/>
        <v>1043.06937943822</v>
      </c>
      <c r="P72" s="30">
        <f t="shared" ca="1" si="51"/>
        <v>434.61224143259165</v>
      </c>
      <c r="Q72" s="29">
        <f t="shared" ca="1" si="52"/>
        <v>5.6946379132539739</v>
      </c>
      <c r="R72" s="139">
        <f t="shared" ca="1" si="53"/>
        <v>5.0744525547445258</v>
      </c>
      <c r="S72" s="111">
        <f t="shared" si="54"/>
        <v>0.66666666666666663</v>
      </c>
      <c r="T72" s="102">
        <f t="shared" ca="1" si="55"/>
        <v>84.221901993110095</v>
      </c>
      <c r="U72" s="157">
        <f t="shared" ca="1" si="56"/>
        <v>374</v>
      </c>
      <c r="V72" s="163">
        <f t="shared" ca="1" si="57"/>
        <v>0.18119320559249455</v>
      </c>
      <c r="W72" s="164">
        <f t="shared" si="58"/>
        <v>3.7195193251122874E-2</v>
      </c>
      <c r="X72" s="164">
        <f t="shared" si="59"/>
        <v>4.3524450000000025E-3</v>
      </c>
      <c r="Y72" s="164">
        <f ca="1">IF(Reset,1,T72/100*(S72^2+V72^2/12)*AE72/1000)</f>
        <v>0.35413369472939199</v>
      </c>
      <c r="Z72" s="164">
        <f ca="1">IF(Reset,1,(1-T72/100)*(S72^2+V72^2/12)*AE72/1000)</f>
        <v>6.6343267140173079E-2</v>
      </c>
      <c r="AA72" s="164">
        <f t="shared" si="60"/>
        <v>3.1999999999999997E-3</v>
      </c>
      <c r="AB72" s="164">
        <f t="shared" si="61"/>
        <v>2.207693251122864E-3</v>
      </c>
      <c r="AC72" s="164">
        <f t="shared" ca="1" si="79"/>
        <v>0.4674322933718108</v>
      </c>
      <c r="AD72" s="32">
        <f ca="1">IF(Reset=1,150,AC72*Rth_typ+$A72)</f>
        <v>95.892697974641564</v>
      </c>
      <c r="AE72" s="165">
        <f t="shared" ca="1" si="62"/>
        <v>940.28495027827944</v>
      </c>
      <c r="AF72" s="165">
        <f t="shared" ca="1" si="63"/>
        <v>391.78539594928316</v>
      </c>
      <c r="AG72" s="160">
        <f t="shared" ca="1" si="64"/>
        <v>6.1167841897126056</v>
      </c>
      <c r="AH72" s="140">
        <f t="shared" ca="1" si="65"/>
        <v>5.0744525547445258</v>
      </c>
      <c r="AI72" s="113">
        <f t="shared" si="66"/>
        <v>0.33333333333333331</v>
      </c>
      <c r="AJ72" s="107">
        <f t="shared" ca="1" si="67"/>
        <v>77.773526840519793</v>
      </c>
      <c r="AK72" s="167">
        <f t="shared" ca="1" si="68"/>
        <v>535</v>
      </c>
      <c r="AL72" s="170">
        <f t="shared" ca="1" si="69"/>
        <v>0.16868324224274034</v>
      </c>
      <c r="AM72" s="171">
        <f t="shared" si="70"/>
        <v>3.7195193251122874E-2</v>
      </c>
      <c r="AN72" s="171">
        <f t="shared" si="71"/>
        <v>2.1762225000000013E-3</v>
      </c>
      <c r="AO72" s="171">
        <f ca="1">IF(Reset,1,AJ72/100*(AI72^2+AL72^2/12)*AU72/1000)</f>
        <v>7.8328540859732163E-2</v>
      </c>
      <c r="AP72" s="171">
        <f ca="1">IF(Reset,1,(1-AJ72/100)*(AI72^2+AL72^2/12)*AU72/1000)</f>
        <v>2.2385087596838243E-2</v>
      </c>
      <c r="AQ72" s="171">
        <f t="shared" si="72"/>
        <v>1.5999999999999999E-3</v>
      </c>
      <c r="AR72" s="171">
        <f t="shared" si="73"/>
        <v>2.207693251122864E-3</v>
      </c>
      <c r="AS72" s="171">
        <f t="shared" ca="1" si="80"/>
        <v>0.14389273745881612</v>
      </c>
      <c r="AT72" s="34">
        <f ca="1">IF(Reset=1,150,AS72*Rth_typ+$A72)</f>
        <v>84.89235307359975</v>
      </c>
      <c r="AU72" s="172">
        <f t="shared" ca="1" si="74"/>
        <v>887.48329475327887</v>
      </c>
      <c r="AV72" s="172">
        <f t="shared" ca="1" si="75"/>
        <v>369.78470614719947</v>
      </c>
      <c r="AW72" s="173">
        <f t="shared" ca="1" si="76"/>
        <v>6.4554360690864447</v>
      </c>
      <c r="AX72" s="141">
        <f t="shared" ca="1" si="77"/>
        <v>5.0744525547445258</v>
      </c>
    </row>
    <row r="73" spans="1:50" s="43" customFormat="1" ht="12.75" customHeight="1" x14ac:dyDescent="0.25">
      <c r="A73" s="27">
        <f t="shared" si="40"/>
        <v>80</v>
      </c>
      <c r="B73" s="109">
        <f t="shared" si="41"/>
        <v>6.780000000000002</v>
      </c>
      <c r="C73" s="110">
        <f t="shared" si="42"/>
        <v>1</v>
      </c>
      <c r="D73" s="99">
        <f t="shared" ca="1" si="43"/>
        <v>95.8</v>
      </c>
      <c r="E73" s="155">
        <f t="shared" ca="1" si="44"/>
        <v>85</v>
      </c>
      <c r="F73" s="100">
        <f t="shared" ca="1" si="45"/>
        <v>0.18048101792318352</v>
      </c>
      <c r="G73" s="31">
        <f t="shared" si="46"/>
        <v>3.603907256057351E-2</v>
      </c>
      <c r="H73" s="31">
        <f t="shared" si="47"/>
        <v>6.1291200000000044E-3</v>
      </c>
      <c r="I73" s="31">
        <f ca="1">IF(Reset,1,D73/100*(C73^2+F73^2/12)*O73/1000)</f>
        <v>1.0015547505082016</v>
      </c>
      <c r="J73" s="31">
        <f ca="1">IF(Reset,1,(1-D73/100)*(C73^2+F73^2/12)*O73/1000)</f>
        <v>4.390949845651828E-2</v>
      </c>
      <c r="K73" s="31">
        <f t="shared" si="48"/>
        <v>4.7999999999999996E-3</v>
      </c>
      <c r="L73" s="31">
        <f t="shared" si="49"/>
        <v>2.1390725605734931E-3</v>
      </c>
      <c r="M73" s="31">
        <f t="shared" ca="1" si="78"/>
        <v>1.0945715140858667</v>
      </c>
      <c r="N73" s="28">
        <f ca="1">IF(Reset=1,150,M73*Rth_typ+$A73)</f>
        <v>117.21543147891947</v>
      </c>
      <c r="O73" s="30">
        <f t="shared" ca="1" si="50"/>
        <v>1042.6340710988134</v>
      </c>
      <c r="P73" s="30">
        <f t="shared" ca="1" si="51"/>
        <v>434.43086295783894</v>
      </c>
      <c r="Q73" s="29">
        <f t="shared" ca="1" si="52"/>
        <v>5.642340406170387</v>
      </c>
      <c r="R73" s="139">
        <f t="shared" ca="1" si="53"/>
        <v>5.0744525547445258</v>
      </c>
      <c r="S73" s="111">
        <f t="shared" si="54"/>
        <v>0.66666666666666663</v>
      </c>
      <c r="T73" s="102">
        <f t="shared" ca="1" si="55"/>
        <v>87.194177643342456</v>
      </c>
      <c r="U73" s="157">
        <f t="shared" ca="1" si="56"/>
        <v>300</v>
      </c>
      <c r="V73" s="163">
        <f t="shared" ca="1" si="57"/>
        <v>0.16603749669370088</v>
      </c>
      <c r="W73" s="164">
        <f t="shared" si="58"/>
        <v>3.603907256057351E-2</v>
      </c>
      <c r="X73" s="164">
        <f t="shared" si="59"/>
        <v>4.0860800000000032E-3</v>
      </c>
      <c r="Y73" s="164">
        <f ca="1">IF(Reset,1,T73/100*(S73^2+V73^2/12)*AE73/1000)</f>
        <v>0.36614135576043516</v>
      </c>
      <c r="Z73" s="164">
        <f ca="1">IF(Reset,1,(1-T73/100)*(S73^2+V73^2/12)*AE73/1000)</f>
        <v>5.3773557891360936E-2</v>
      </c>
      <c r="AA73" s="164">
        <f t="shared" si="60"/>
        <v>3.1999999999999997E-3</v>
      </c>
      <c r="AB73" s="164">
        <f t="shared" si="61"/>
        <v>2.1390725605734931E-3</v>
      </c>
      <c r="AC73" s="164">
        <f t="shared" ca="1" si="79"/>
        <v>0.46537913877294312</v>
      </c>
      <c r="AD73" s="32">
        <f ca="1">IF(Reset=1,150,AC73*Rth_typ+$A73)</f>
        <v>95.822890718280064</v>
      </c>
      <c r="AE73" s="165">
        <f t="shared" ca="1" si="62"/>
        <v>939.94987544774426</v>
      </c>
      <c r="AF73" s="165">
        <f t="shared" ca="1" si="63"/>
        <v>391.64578143656013</v>
      </c>
      <c r="AG73" s="160">
        <f t="shared" ca="1" si="64"/>
        <v>5.9068981424990916</v>
      </c>
      <c r="AH73" s="140">
        <f t="shared" ca="1" si="65"/>
        <v>5.0744525547445258</v>
      </c>
      <c r="AI73" s="113">
        <f t="shared" si="66"/>
        <v>0.33333333333333331</v>
      </c>
      <c r="AJ73" s="107">
        <f t="shared" ca="1" si="67"/>
        <v>80.380488684131194</v>
      </c>
      <c r="AK73" s="167">
        <f t="shared" ca="1" si="68"/>
        <v>470</v>
      </c>
      <c r="AL73" s="170">
        <f t="shared" ca="1" si="69"/>
        <v>0.15447096758525428</v>
      </c>
      <c r="AM73" s="171">
        <f t="shared" si="70"/>
        <v>3.603907256057351E-2</v>
      </c>
      <c r="AN73" s="171">
        <f t="shared" si="71"/>
        <v>2.0430400000000016E-3</v>
      </c>
      <c r="AO73" s="171">
        <f ca="1">IF(Reset,1,AJ73/100*(AI73^2+AL73^2/12)*AU73/1000)</f>
        <v>8.0655421426881591E-2</v>
      </c>
      <c r="AP73" s="171">
        <f ca="1">IF(Reset,1,(1-AJ73/100)*(AI73^2+AL73^2/12)*AU73/1000)</f>
        <v>1.9686617726215369E-2</v>
      </c>
      <c r="AQ73" s="171">
        <f t="shared" si="72"/>
        <v>1.5999999999999999E-3</v>
      </c>
      <c r="AR73" s="171">
        <f t="shared" si="73"/>
        <v>2.1390725605734931E-3</v>
      </c>
      <c r="AS73" s="171">
        <f t="shared" ca="1" si="80"/>
        <v>0.14216322427424394</v>
      </c>
      <c r="AT73" s="34">
        <f ca="1">IF(Reset=1,150,AS73*Rth_typ+$A73)</f>
        <v>84.833549625324295</v>
      </c>
      <c r="AU73" s="172">
        <f t="shared" ca="1" si="74"/>
        <v>887.20103820155668</v>
      </c>
      <c r="AV73" s="172">
        <f t="shared" ca="1" si="75"/>
        <v>369.66709925064856</v>
      </c>
      <c r="AW73" s="173">
        <f t="shared" ca="1" si="76"/>
        <v>6.2454232885742602</v>
      </c>
      <c r="AX73" s="141">
        <f t="shared" ca="1" si="77"/>
        <v>5.0744525547445258</v>
      </c>
    </row>
    <row r="74" spans="1:50" s="43" customFormat="1" ht="12.75" customHeight="1" x14ac:dyDescent="0.25">
      <c r="A74" s="27">
        <f t="shared" si="40"/>
        <v>80</v>
      </c>
      <c r="B74" s="109">
        <f t="shared" si="41"/>
        <v>6.5625000000000018</v>
      </c>
      <c r="C74" s="110">
        <f t="shared" si="42"/>
        <v>1</v>
      </c>
      <c r="D74" s="99">
        <f t="shared" ca="1" si="43"/>
        <v>95.8</v>
      </c>
      <c r="E74" s="155">
        <f t="shared" ca="1" si="44"/>
        <v>85</v>
      </c>
      <c r="F74" s="100">
        <f t="shared" ca="1" si="45"/>
        <v>0.15680458029188749</v>
      </c>
      <c r="G74" s="31">
        <f t="shared" si="46"/>
        <v>3.4882951870024131E-2</v>
      </c>
      <c r="H74" s="31">
        <f t="shared" si="47"/>
        <v>5.7421875000000034E-3</v>
      </c>
      <c r="I74" s="31">
        <f ca="1">IF(Reset,1,D74/100*(C74^2+F74^2/12)*O74/1000)</f>
        <v>1.0004582301849754</v>
      </c>
      <c r="J74" s="31">
        <f ca="1">IF(Reset,1,(1-D74/100)*(C74^2+F74^2/12)*O74/1000)</f>
        <v>4.3861425540468679E-2</v>
      </c>
      <c r="K74" s="31">
        <f t="shared" si="48"/>
        <v>4.7999999999999996E-3</v>
      </c>
      <c r="L74" s="31">
        <f t="shared" si="49"/>
        <v>2.0704518700241218E-3</v>
      </c>
      <c r="M74" s="31">
        <f t="shared" ca="1" si="78"/>
        <v>1.0918152469654923</v>
      </c>
      <c r="N74" s="28">
        <f ca="1">IF(Reset=1,150,M74*Rth_typ+$A74)</f>
        <v>117.12171839682674</v>
      </c>
      <c r="O74" s="30">
        <f t="shared" ca="1" si="50"/>
        <v>1042.1842483047683</v>
      </c>
      <c r="P74" s="30">
        <f t="shared" ca="1" si="51"/>
        <v>434.24343679365347</v>
      </c>
      <c r="Q74" s="29">
        <f t="shared" ca="1" si="52"/>
        <v>5.4271367485930782</v>
      </c>
      <c r="R74" s="139">
        <f t="shared" ca="1" si="53"/>
        <v>5.0744525547445258</v>
      </c>
      <c r="S74" s="111">
        <f t="shared" si="54"/>
        <v>0.66666666666666663</v>
      </c>
      <c r="T74" s="102">
        <f t="shared" ca="1" si="55"/>
        <v>90.384089158292284</v>
      </c>
      <c r="U74" s="157">
        <f t="shared" ca="1" si="56"/>
        <v>220</v>
      </c>
      <c r="V74" s="163">
        <f t="shared" ca="1" si="57"/>
        <v>0.14977321368936639</v>
      </c>
      <c r="W74" s="164">
        <f t="shared" si="58"/>
        <v>3.4882951870024131E-2</v>
      </c>
      <c r="X74" s="164">
        <f t="shared" si="59"/>
        <v>3.8281250000000017E-3</v>
      </c>
      <c r="Y74" s="164">
        <f ca="1">IF(Reset,1,T74/100*(S74^2+V74^2/12)*AE74/1000)</f>
        <v>0.3790387763159852</v>
      </c>
      <c r="Z74" s="164">
        <f ca="1">IF(Reset,1,(1-T74/100)*(S74^2+V74^2/12)*AE74/1000)</f>
        <v>4.032571564914772E-2</v>
      </c>
      <c r="AA74" s="164">
        <f t="shared" si="60"/>
        <v>3.1999999999999997E-3</v>
      </c>
      <c r="AB74" s="164">
        <f t="shared" si="61"/>
        <v>2.0704518700241218E-3</v>
      </c>
      <c r="AC74" s="164">
        <f t="shared" ca="1" si="79"/>
        <v>0.46334602070518116</v>
      </c>
      <c r="AD74" s="32">
        <f ca="1">IF(Reset=1,150,AC74*Rth_typ+$A74)</f>
        <v>95.753764703976159</v>
      </c>
      <c r="AE74" s="165">
        <f t="shared" ca="1" si="62"/>
        <v>939.6180705790855</v>
      </c>
      <c r="AF74" s="165">
        <f t="shared" ca="1" si="63"/>
        <v>391.50752940795235</v>
      </c>
      <c r="AG74" s="160">
        <f t="shared" ca="1" si="64"/>
        <v>5.6970099585471567</v>
      </c>
      <c r="AH74" s="140">
        <f t="shared" ca="1" si="65"/>
        <v>5.0744525547445258</v>
      </c>
      <c r="AI74" s="113">
        <f t="shared" si="66"/>
        <v>0.33333333333333331</v>
      </c>
      <c r="AJ74" s="107">
        <f t="shared" ca="1" si="67"/>
        <v>83.168344347309116</v>
      </c>
      <c r="AK74" s="167">
        <f t="shared" ca="1" si="68"/>
        <v>400</v>
      </c>
      <c r="AL74" s="170">
        <f t="shared" ca="1" si="69"/>
        <v>0.13927296134286882</v>
      </c>
      <c r="AM74" s="171">
        <f t="shared" si="70"/>
        <v>3.4882951870024131E-2</v>
      </c>
      <c r="AN74" s="171">
        <f t="shared" si="71"/>
        <v>1.9140625000000008E-3</v>
      </c>
      <c r="AO74" s="171">
        <f ca="1">IF(Reset,1,AJ74/100*(AI74^2+AL74^2/12)*AU74/1000)</f>
        <v>8.3152059354533542E-2</v>
      </c>
      <c r="AP74" s="171">
        <f ca="1">IF(Reset,1,(1-AJ74/100)*(AI74^2+AL74^2/12)*AU74/1000)</f>
        <v>1.6828359886821589E-2</v>
      </c>
      <c r="AQ74" s="171">
        <f t="shared" si="72"/>
        <v>1.5999999999999999E-3</v>
      </c>
      <c r="AR74" s="171">
        <f t="shared" si="73"/>
        <v>2.0704518700241218E-3</v>
      </c>
      <c r="AS74" s="171">
        <f t="shared" ca="1" si="80"/>
        <v>0.14044788548140338</v>
      </c>
      <c r="AT74" s="34">
        <f ca="1">IF(Reset=1,150,AS74*Rth_typ+$A74)</f>
        <v>84.77522810636772</v>
      </c>
      <c r="AU74" s="172">
        <f t="shared" ca="1" si="74"/>
        <v>886.92109491056499</v>
      </c>
      <c r="AV74" s="172">
        <f t="shared" ca="1" si="75"/>
        <v>369.55045621273541</v>
      </c>
      <c r="AW74" s="173">
        <f t="shared" ca="1" si="76"/>
        <v>6.0354097522683885</v>
      </c>
      <c r="AX74" s="141">
        <f t="shared" ca="1" si="77"/>
        <v>5.0744525547445258</v>
      </c>
    </row>
    <row r="75" spans="1:50" s="43" customFormat="1" ht="12.75" customHeight="1" x14ac:dyDescent="0.25">
      <c r="A75" s="27">
        <f t="shared" si="40"/>
        <v>80</v>
      </c>
      <c r="B75" s="109">
        <f t="shared" si="41"/>
        <v>6.3450000000000015</v>
      </c>
      <c r="C75" s="110">
        <f t="shared" si="42"/>
        <v>1</v>
      </c>
      <c r="D75" s="99">
        <f t="shared" ca="1" si="43"/>
        <v>95.8</v>
      </c>
      <c r="E75" s="155">
        <f t="shared" ca="1" si="44"/>
        <v>85</v>
      </c>
      <c r="F75" s="100">
        <f t="shared" ca="1" si="45"/>
        <v>0.13312807538672392</v>
      </c>
      <c r="G75" s="31">
        <f t="shared" si="46"/>
        <v>3.372683117947476E-2</v>
      </c>
      <c r="H75" s="31">
        <f t="shared" si="47"/>
        <v>5.3678700000000029E-3</v>
      </c>
      <c r="I75" s="31">
        <f ca="1">IF(Reset,1,D75/100*(C75^2+F75^2/12)*O75/1000)</f>
        <v>0.99947621182272017</v>
      </c>
      <c r="J75" s="31">
        <f ca="1">IF(Reset,1,(1-D75/100)*(C75^2+F75^2/12)*O75/1000)</f>
        <v>4.3818372543376082E-2</v>
      </c>
      <c r="K75" s="31">
        <f t="shared" si="48"/>
        <v>4.7999999999999996E-3</v>
      </c>
      <c r="L75" s="31">
        <f t="shared" si="49"/>
        <v>2.001831179474751E-3</v>
      </c>
      <c r="M75" s="31">
        <f t="shared" ca="1" si="78"/>
        <v>1.0891911167250456</v>
      </c>
      <c r="N75" s="28">
        <f ca="1">IF(Reset=1,150,M75*Rth_typ+$A75)</f>
        <v>117.03249796865155</v>
      </c>
      <c r="O75" s="30">
        <f t="shared" ca="1" si="50"/>
        <v>1041.7559902495275</v>
      </c>
      <c r="P75" s="30">
        <f t="shared" ca="1" si="51"/>
        <v>434.06499593730314</v>
      </c>
      <c r="Q75" s="29">
        <f t="shared" ca="1" si="52"/>
        <v>5.2119116332021278</v>
      </c>
      <c r="R75" s="139">
        <f t="shared" ca="1" si="53"/>
        <v>5.0744525547445258</v>
      </c>
      <c r="S75" s="111">
        <f t="shared" si="54"/>
        <v>0.66666666666666663</v>
      </c>
      <c r="T75" s="102">
        <f t="shared" ca="1" si="55"/>
        <v>93.816463143400469</v>
      </c>
      <c r="U75" s="157">
        <f t="shared" ca="1" si="56"/>
        <v>134</v>
      </c>
      <c r="V75" s="163">
        <f t="shared" ca="1" si="57"/>
        <v>0.13227399006684687</v>
      </c>
      <c r="W75" s="164">
        <f t="shared" si="58"/>
        <v>3.372683117947476E-2</v>
      </c>
      <c r="X75" s="164">
        <f t="shared" si="59"/>
        <v>3.5785800000000018E-3</v>
      </c>
      <c r="Y75" s="164">
        <f ca="1">IF(Reset,1,T75/100*(S75^2+V75^2/12)*AE75/1000)</f>
        <v>0.39293335946216185</v>
      </c>
      <c r="Z75" s="164">
        <f ca="1">IF(Reset,1,(1-T75/100)*(S75^2+V75^2/12)*AE75/1000)</f>
        <v>2.5898630464334133E-2</v>
      </c>
      <c r="AA75" s="164">
        <f t="shared" si="60"/>
        <v>3.1999999999999997E-3</v>
      </c>
      <c r="AB75" s="164">
        <f t="shared" si="61"/>
        <v>2.001831179474751E-3</v>
      </c>
      <c r="AC75" s="164">
        <f t="shared" ca="1" si="79"/>
        <v>0.46133923228544554</v>
      </c>
      <c r="AD75" s="32">
        <f ca="1">IF(Reset=1,150,AC75*Rth_typ+$A75)</f>
        <v>95.685533897705142</v>
      </c>
      <c r="AE75" s="165">
        <f t="shared" ca="1" si="62"/>
        <v>939.29056270898468</v>
      </c>
      <c r="AF75" s="165">
        <f t="shared" ca="1" si="63"/>
        <v>391.37106779541028</v>
      </c>
      <c r="AG75" s="160">
        <f t="shared" ca="1" si="64"/>
        <v>5.4871189667453857</v>
      </c>
      <c r="AH75" s="140">
        <f t="shared" ca="1" si="65"/>
        <v>5.0744525547445258</v>
      </c>
      <c r="AI75" s="113">
        <f t="shared" si="66"/>
        <v>0.33333333333333331</v>
      </c>
      <c r="AJ75" s="107">
        <f t="shared" ca="1" si="67"/>
        <v>86.156603538387188</v>
      </c>
      <c r="AK75" s="167">
        <f t="shared" ca="1" si="68"/>
        <v>326</v>
      </c>
      <c r="AL75" s="170">
        <f t="shared" ca="1" si="69"/>
        <v>0.12298294440737263</v>
      </c>
      <c r="AM75" s="171">
        <f t="shared" si="70"/>
        <v>3.372683117947476E-2</v>
      </c>
      <c r="AN75" s="171">
        <f t="shared" si="71"/>
        <v>1.7892900000000009E-3</v>
      </c>
      <c r="AO75" s="171">
        <f ca="1">IF(Reset,1,AJ75/100*(AI75^2+AL75^2/12)*AU75/1000)</f>
        <v>8.5840886166944061E-2</v>
      </c>
      <c r="AP75" s="171">
        <f ca="1">IF(Reset,1,(1-AJ75/100)*(AI75^2+AL75^2/12)*AU75/1000)</f>
        <v>1.3792667898006445E-2</v>
      </c>
      <c r="AQ75" s="171">
        <f t="shared" si="72"/>
        <v>1.5999999999999999E-3</v>
      </c>
      <c r="AR75" s="171">
        <f t="shared" si="73"/>
        <v>2.001831179474751E-3</v>
      </c>
      <c r="AS75" s="171">
        <f t="shared" ca="1" si="80"/>
        <v>0.13875150642390002</v>
      </c>
      <c r="AT75" s="34">
        <f ca="1">IF(Reset=1,150,AS75*Rth_typ+$A75)</f>
        <v>84.717551218412595</v>
      </c>
      <c r="AU75" s="172">
        <f t="shared" ca="1" si="74"/>
        <v>886.64424584838048</v>
      </c>
      <c r="AV75" s="172">
        <f t="shared" ca="1" si="75"/>
        <v>369.43510243682522</v>
      </c>
      <c r="AW75" s="173">
        <f t="shared" ca="1" si="76"/>
        <v>5.8253952050092055</v>
      </c>
      <c r="AX75" s="141">
        <f t="shared" ca="1" si="77"/>
        <v>5.0744525547445258</v>
      </c>
    </row>
    <row r="76" spans="1:50" s="43" customFormat="1" ht="12.75" customHeight="1" x14ac:dyDescent="0.25">
      <c r="A76" s="27">
        <f t="shared" si="40"/>
        <v>80</v>
      </c>
      <c r="B76" s="109">
        <f t="shared" si="41"/>
        <v>6.1275000000000013</v>
      </c>
      <c r="C76" s="110">
        <f t="shared" si="42"/>
        <v>1</v>
      </c>
      <c r="D76" s="99">
        <f t="shared" ca="1" si="43"/>
        <v>95.8</v>
      </c>
      <c r="E76" s="155">
        <f t="shared" ca="1" si="44"/>
        <v>85</v>
      </c>
      <c r="F76" s="100">
        <f t="shared" ca="1" si="45"/>
        <v>0.10945150330275195</v>
      </c>
      <c r="G76" s="31">
        <f t="shared" si="46"/>
        <v>3.2570710488925382E-2</v>
      </c>
      <c r="H76" s="31">
        <f t="shared" si="47"/>
        <v>5.0061675000000021E-3</v>
      </c>
      <c r="I76" s="31">
        <f ca="1">IF(Reset,1,D76/100*(C76^2+F76^2/12)*O76/1000)</f>
        <v>0.99860851655117644</v>
      </c>
      <c r="J76" s="31">
        <f ca="1">IF(Reset,1,(1-D76/100)*(C76^2+F76^2/12)*O76/1000)</f>
        <v>4.3780331623329283E-2</v>
      </c>
      <c r="K76" s="31">
        <f t="shared" si="48"/>
        <v>4.7999999999999996E-3</v>
      </c>
      <c r="L76" s="31">
        <f t="shared" si="49"/>
        <v>1.9332104889253801E-3</v>
      </c>
      <c r="M76" s="31">
        <f t="shared" ca="1" si="78"/>
        <v>1.0866989366523565</v>
      </c>
      <c r="N76" s="28">
        <f ca="1">IF(Reset=1,150,M76*Rth_typ+$A76)</f>
        <v>116.94776384618012</v>
      </c>
      <c r="O76" s="30">
        <f t="shared" ca="1" si="50"/>
        <v>1041.3492664616647</v>
      </c>
      <c r="P76" s="30">
        <f t="shared" ca="1" si="51"/>
        <v>433.89552769236025</v>
      </c>
      <c r="Q76" s="29">
        <f t="shared" ca="1" si="52"/>
        <v>4.996665090317876</v>
      </c>
      <c r="R76" s="139">
        <f t="shared" ca="1" si="53"/>
        <v>4.996665090317876</v>
      </c>
      <c r="S76" s="111">
        <f t="shared" si="54"/>
        <v>0.66666666666666663</v>
      </c>
      <c r="T76" s="102">
        <f t="shared" ca="1" si="55"/>
        <v>95.8</v>
      </c>
      <c r="U76" s="157">
        <f t="shared" ca="1" si="56"/>
        <v>85</v>
      </c>
      <c r="V76" s="163">
        <f t="shared" ca="1" si="57"/>
        <v>0.1113934657314464</v>
      </c>
      <c r="W76" s="164">
        <f t="shared" si="58"/>
        <v>3.2570710488925382E-2</v>
      </c>
      <c r="X76" s="164">
        <f t="shared" si="59"/>
        <v>3.3374450000000014E-3</v>
      </c>
      <c r="Y76" s="164">
        <f ca="1">IF(Reset,1,T76/100*(S76^2+V76^2/12)*AE76/1000)</f>
        <v>0.40071950805495971</v>
      </c>
      <c r="Z76" s="164">
        <f ca="1">IF(Reset,1,(1-T76/100)*(S76^2+V76^2/12)*AE76/1000)</f>
        <v>1.7568078641240423E-2</v>
      </c>
      <c r="AA76" s="164">
        <f t="shared" si="60"/>
        <v>3.1999999999999997E-3</v>
      </c>
      <c r="AB76" s="164">
        <f t="shared" si="61"/>
        <v>1.9332104889253801E-3</v>
      </c>
      <c r="AC76" s="164">
        <f t="shared" ca="1" si="79"/>
        <v>0.45932895267405088</v>
      </c>
      <c r="AD76" s="32">
        <f ca="1">IF(Reset=1,150,AC76*Rth_typ+$A76)</f>
        <v>95.617184390917728</v>
      </c>
      <c r="AE76" s="165">
        <f t="shared" ca="1" si="62"/>
        <v>938.96248507640507</v>
      </c>
      <c r="AF76" s="165">
        <f t="shared" ca="1" si="63"/>
        <v>391.23436878183543</v>
      </c>
      <c r="AG76" s="160">
        <f t="shared" ca="1" si="64"/>
        <v>5.4241682192747351</v>
      </c>
      <c r="AH76" s="140">
        <f t="shared" ca="1" si="65"/>
        <v>5.0744525547445258</v>
      </c>
      <c r="AI76" s="113">
        <f t="shared" si="66"/>
        <v>0.33333333333333331</v>
      </c>
      <c r="AJ76" s="107">
        <f t="shared" ca="1" si="67"/>
        <v>89.367687441045959</v>
      </c>
      <c r="AK76" s="167">
        <f t="shared" ca="1" si="68"/>
        <v>245</v>
      </c>
      <c r="AL76" s="170">
        <f t="shared" ca="1" si="69"/>
        <v>0.10547878590921557</v>
      </c>
      <c r="AM76" s="171">
        <f t="shared" si="70"/>
        <v>3.2570710488925382E-2</v>
      </c>
      <c r="AN76" s="171">
        <f t="shared" si="71"/>
        <v>1.6687225000000007E-3</v>
      </c>
      <c r="AO76" s="171">
        <f ca="1">IF(Reset,1,AJ76/100*(AI76^2+AL76^2/12)*AU76/1000)</f>
        <v>8.8748832001589034E-2</v>
      </c>
      <c r="AP76" s="171">
        <f ca="1">IF(Reset,1,(1-AJ76/100)*(AI76^2+AL76^2/12)*AU76/1000)</f>
        <v>1.0558685673784211E-2</v>
      </c>
      <c r="AQ76" s="171">
        <f t="shared" si="72"/>
        <v>1.5999999999999999E-3</v>
      </c>
      <c r="AR76" s="171">
        <f t="shared" si="73"/>
        <v>1.9332104889253801E-3</v>
      </c>
      <c r="AS76" s="171">
        <f t="shared" ca="1" si="80"/>
        <v>0.13708016115322402</v>
      </c>
      <c r="AT76" s="34">
        <f ca="1">IF(Reset=1,150,AS76*Rth_typ+$A76)</f>
        <v>84.660725479209617</v>
      </c>
      <c r="AU76" s="172">
        <f t="shared" ca="1" si="74"/>
        <v>886.37148230020614</v>
      </c>
      <c r="AV76" s="172">
        <f t="shared" ca="1" si="75"/>
        <v>369.32145095841923</v>
      </c>
      <c r="AW76" s="173">
        <f t="shared" ca="1" si="76"/>
        <v>5.6153793229218056</v>
      </c>
      <c r="AX76" s="141">
        <f t="shared" ca="1" si="77"/>
        <v>5.0744525547445258</v>
      </c>
    </row>
    <row r="77" spans="1:50" s="43" customFormat="1" ht="12.75" customHeight="1" x14ac:dyDescent="0.25">
      <c r="A77" s="27">
        <f t="shared" si="40"/>
        <v>80</v>
      </c>
      <c r="B77" s="109">
        <f t="shared" si="41"/>
        <v>5.910000000000001</v>
      </c>
      <c r="C77" s="110">
        <f t="shared" si="42"/>
        <v>1</v>
      </c>
      <c r="D77" s="99">
        <f t="shared" ca="1" si="43"/>
        <v>95.8</v>
      </c>
      <c r="E77" s="155">
        <f t="shared" ca="1" si="44"/>
        <v>85</v>
      </c>
      <c r="F77" s="100">
        <f t="shared" ca="1" si="45"/>
        <v>8.5774864127648648E-2</v>
      </c>
      <c r="G77" s="31">
        <f t="shared" si="46"/>
        <v>3.1414589798376011E-2</v>
      </c>
      <c r="H77" s="31">
        <f t="shared" si="47"/>
        <v>4.6570800000000018E-3</v>
      </c>
      <c r="I77" s="31">
        <f ca="1">IF(Reset,1,D77/100*(C77^2+F77^2/12)*O77/1000)</f>
        <v>0.99785497939146606</v>
      </c>
      <c r="J77" s="31">
        <f ca="1">IF(Reset,1,(1-D77/100)*(C77^2+F77^2/12)*O77/1000)</f>
        <v>4.3747295547433833E-2</v>
      </c>
      <c r="K77" s="31">
        <f t="shared" si="48"/>
        <v>4.7999999999999996E-3</v>
      </c>
      <c r="L77" s="31">
        <f t="shared" si="49"/>
        <v>1.8645897983760092E-3</v>
      </c>
      <c r="M77" s="31">
        <f t="shared" ca="1" si="78"/>
        <v>1.0843385345356518</v>
      </c>
      <c r="N77" s="28">
        <f ca="1">IF(Reset=1,150,M77*Rth_typ+$A77)</f>
        <v>116.86751017421216</v>
      </c>
      <c r="O77" s="30">
        <f t="shared" ca="1" si="50"/>
        <v>1040.9640488362184</v>
      </c>
      <c r="P77" s="30">
        <f t="shared" ca="1" si="51"/>
        <v>433.73502034842431</v>
      </c>
      <c r="Q77" s="29">
        <f t="shared" ca="1" si="52"/>
        <v>4.7813971479059294</v>
      </c>
      <c r="R77" s="139">
        <f t="shared" ca="1" si="53"/>
        <v>4.7813971479059294</v>
      </c>
      <c r="S77" s="111">
        <f t="shared" si="54"/>
        <v>0.66666666666666663</v>
      </c>
      <c r="T77" s="102">
        <f t="shared" ca="1" si="55"/>
        <v>95.8</v>
      </c>
      <c r="U77" s="157">
        <f t="shared" ca="1" si="56"/>
        <v>85</v>
      </c>
      <c r="V77" s="163">
        <f t="shared" ca="1" si="57"/>
        <v>8.7716293267529402E-2</v>
      </c>
      <c r="W77" s="164">
        <f t="shared" si="58"/>
        <v>3.1414589798376011E-2</v>
      </c>
      <c r="X77" s="164">
        <f t="shared" si="59"/>
        <v>3.1047200000000009E-3</v>
      </c>
      <c r="Y77" s="164">
        <f ca="1">IF(Reset,1,T77/100*(S77^2+V77^2/12)*AE77/1000)</f>
        <v>0.40022907230779031</v>
      </c>
      <c r="Z77" s="164">
        <f ca="1">IF(Reset,1,(1-T77/100)*(S77^2+V77^2/12)*AE77/1000)</f>
        <v>1.7546577282805016E-2</v>
      </c>
      <c r="AA77" s="164">
        <f t="shared" si="60"/>
        <v>3.1999999999999997E-3</v>
      </c>
      <c r="AB77" s="164">
        <f t="shared" si="61"/>
        <v>1.8645897983760092E-3</v>
      </c>
      <c r="AC77" s="164">
        <f t="shared" ca="1" si="79"/>
        <v>0.45735954918734734</v>
      </c>
      <c r="AD77" s="32">
        <f ca="1">IF(Reset=1,150,AC77*Rth_typ+$A77)</f>
        <v>95.550224672369808</v>
      </c>
      <c r="AE77" s="165">
        <f t="shared" ca="1" si="62"/>
        <v>938.64107842737508</v>
      </c>
      <c r="AF77" s="165">
        <f t="shared" ca="1" si="63"/>
        <v>391.10044934473962</v>
      </c>
      <c r="AG77" s="160">
        <f t="shared" ca="1" si="64"/>
        <v>5.2087301779465536</v>
      </c>
      <c r="AH77" s="140">
        <f t="shared" ca="1" si="65"/>
        <v>5.0744525547445258</v>
      </c>
      <c r="AI77" s="113">
        <f t="shared" si="66"/>
        <v>0.33333333333333331</v>
      </c>
      <c r="AJ77" s="107">
        <f t="shared" ca="1" si="67"/>
        <v>92.827493247347391</v>
      </c>
      <c r="AK77" s="167">
        <f t="shared" ca="1" si="68"/>
        <v>159</v>
      </c>
      <c r="AL77" s="170">
        <f t="shared" ca="1" si="69"/>
        <v>8.6619431925647736E-2</v>
      </c>
      <c r="AM77" s="171">
        <f t="shared" si="70"/>
        <v>3.1414589798376011E-2</v>
      </c>
      <c r="AN77" s="171">
        <f t="shared" si="71"/>
        <v>1.5523600000000005E-3</v>
      </c>
      <c r="AO77" s="171">
        <f ca="1">IF(Reset,1,AJ77/100*(AI77^2+AL77^2/12)*AU77/1000)</f>
        <v>9.1908536693617982E-2</v>
      </c>
      <c r="AP77" s="171">
        <f ca="1">IF(Reset,1,(1-AJ77/100)*(AI77^2+AL77^2/12)*AU77/1000)</f>
        <v>7.1015016887815445E-3</v>
      </c>
      <c r="AQ77" s="171">
        <f t="shared" si="72"/>
        <v>1.5999999999999999E-3</v>
      </c>
      <c r="AR77" s="171">
        <f t="shared" si="73"/>
        <v>1.8645897983760092E-3</v>
      </c>
      <c r="AS77" s="171">
        <f t="shared" ca="1" si="80"/>
        <v>0.13544157797915155</v>
      </c>
      <c r="AT77" s="34">
        <f ca="1">IF(Reset=1,150,AS77*Rth_typ+$A77)</f>
        <v>84.605013651291159</v>
      </c>
      <c r="AU77" s="172">
        <f t="shared" ca="1" si="74"/>
        <v>886.10406552619747</v>
      </c>
      <c r="AV77" s="172">
        <f t="shared" ca="1" si="75"/>
        <v>369.21002730258232</v>
      </c>
      <c r="AW77" s="173">
        <f t="shared" ca="1" si="76"/>
        <v>5.40536169392447</v>
      </c>
      <c r="AX77" s="141">
        <f t="shared" ca="1" si="77"/>
        <v>5.0744525547445258</v>
      </c>
    </row>
    <row r="78" spans="1:50" s="43" customFormat="1" ht="12.75" customHeight="1" x14ac:dyDescent="0.25">
      <c r="A78" s="27">
        <f t="shared" si="40"/>
        <v>80</v>
      </c>
      <c r="B78" s="109">
        <f t="shared" si="41"/>
        <v>5.6925000000000008</v>
      </c>
      <c r="C78" s="110">
        <f t="shared" si="42"/>
        <v>1</v>
      </c>
      <c r="D78" s="99">
        <f t="shared" ca="1" si="43"/>
        <v>95.8</v>
      </c>
      <c r="E78" s="155">
        <f t="shared" ca="1" si="44"/>
        <v>85</v>
      </c>
      <c r="F78" s="100">
        <f t="shared" ca="1" si="45"/>
        <v>6.2098157941727634E-2</v>
      </c>
      <c r="G78" s="31">
        <f t="shared" si="46"/>
        <v>3.0258469107826643E-2</v>
      </c>
      <c r="H78" s="31">
        <f t="shared" si="47"/>
        <v>4.3206075000000004E-3</v>
      </c>
      <c r="I78" s="31">
        <f ca="1">IF(Reset,1,D78/100*(C78^2+F78^2/12)*O78/1000)</f>
        <v>0.99721544921992045</v>
      </c>
      <c r="J78" s="31">
        <f ca="1">IF(Reset,1,(1-D78/100)*(C78^2+F78^2/12)*O78/1000)</f>
        <v>4.3719257690226193E-2</v>
      </c>
      <c r="K78" s="31">
        <f t="shared" si="48"/>
        <v>4.7999999999999996E-3</v>
      </c>
      <c r="L78" s="31">
        <f t="shared" si="49"/>
        <v>1.7959691078266379E-3</v>
      </c>
      <c r="M78" s="31">
        <f t="shared" ca="1" si="78"/>
        <v>1.0821097526257997</v>
      </c>
      <c r="N78" s="28">
        <f ca="1">IF(Reset=1,150,M78*Rth_typ+$A78)</f>
        <v>116.79173158927719</v>
      </c>
      <c r="O78" s="30">
        <f t="shared" ca="1" si="50"/>
        <v>1040.6003116285306</v>
      </c>
      <c r="P78" s="30">
        <f t="shared" ca="1" si="51"/>
        <v>433.58346317855438</v>
      </c>
      <c r="Q78" s="29">
        <f t="shared" ca="1" si="52"/>
        <v>4.5661078315832953</v>
      </c>
      <c r="R78" s="139">
        <f t="shared" ca="1" si="53"/>
        <v>4.5661078315832953</v>
      </c>
      <c r="S78" s="111">
        <f t="shared" si="54"/>
        <v>0.66666666666666663</v>
      </c>
      <c r="T78" s="102">
        <f t="shared" ca="1" si="55"/>
        <v>95.8</v>
      </c>
      <c r="U78" s="157">
        <f t="shared" ca="1" si="56"/>
        <v>85</v>
      </c>
      <c r="V78" s="163">
        <f t="shared" ca="1" si="57"/>
        <v>6.4039085547225497E-2</v>
      </c>
      <c r="W78" s="164">
        <f t="shared" si="58"/>
        <v>3.0258469107826643E-2</v>
      </c>
      <c r="X78" s="164">
        <f t="shared" si="59"/>
        <v>2.8804050000000004E-3</v>
      </c>
      <c r="Y78" s="164">
        <f ca="1">IF(Reset,1,T78/100*(S78^2+V78^2/12)*AE78/1000)</f>
        <v>0.39983009104027595</v>
      </c>
      <c r="Z78" s="164">
        <f ca="1">IF(Reset,1,(1-T78/100)*(S78^2+V78^2/12)*AE78/1000)</f>
        <v>1.7529085410951568E-2</v>
      </c>
      <c r="AA78" s="164">
        <f t="shared" si="60"/>
        <v>3.1999999999999997E-3</v>
      </c>
      <c r="AB78" s="164">
        <f t="shared" si="61"/>
        <v>1.7959691078266379E-3</v>
      </c>
      <c r="AC78" s="164">
        <f t="shared" ca="1" si="79"/>
        <v>0.45549401966688075</v>
      </c>
      <c r="AD78" s="32">
        <f ca="1">IF(Reset=1,150,AC78*Rth_typ+$A78)</f>
        <v>95.486796668673946</v>
      </c>
      <c r="AE78" s="165">
        <f t="shared" ca="1" si="62"/>
        <v>938.33662400963499</v>
      </c>
      <c r="AF78" s="165">
        <f t="shared" ca="1" si="63"/>
        <v>390.97359333734789</v>
      </c>
      <c r="AG78" s="160">
        <f t="shared" ca="1" si="64"/>
        <v>4.9932808911673883</v>
      </c>
      <c r="AH78" s="140">
        <f t="shared" ca="1" si="65"/>
        <v>4.9932808911673883</v>
      </c>
      <c r="AI78" s="113">
        <f t="shared" si="66"/>
        <v>0.33333333333333331</v>
      </c>
      <c r="AJ78" s="107">
        <f t="shared" ca="1" si="67"/>
        <v>95.8</v>
      </c>
      <c r="AK78" s="167">
        <f t="shared" ca="1" si="68"/>
        <v>85</v>
      </c>
      <c r="AL78" s="170">
        <f t="shared" ca="1" si="69"/>
        <v>6.5715575978963922E-2</v>
      </c>
      <c r="AM78" s="171">
        <f t="shared" si="70"/>
        <v>3.0258469107826643E-2</v>
      </c>
      <c r="AN78" s="171">
        <f t="shared" si="71"/>
        <v>1.4402025000000002E-3</v>
      </c>
      <c r="AO78" s="171">
        <f ca="1">IF(Reset,1,AJ78/100*(AI78^2+AL78^2/12)*AU78/1000)</f>
        <v>9.4598445872763059E-2</v>
      </c>
      <c r="AP78" s="171">
        <f ca="1">IF(Reset,1,(1-AJ78/100)*(AI78^2+AL78^2/12)*AU78/1000)</f>
        <v>4.1473222616451493E-3</v>
      </c>
      <c r="AQ78" s="171">
        <f t="shared" si="72"/>
        <v>1.5999999999999999E-3</v>
      </c>
      <c r="AR78" s="171">
        <f t="shared" si="73"/>
        <v>1.7959691078266379E-3</v>
      </c>
      <c r="AS78" s="171">
        <f t="shared" ca="1" si="80"/>
        <v>0.13384040885006149</v>
      </c>
      <c r="AT78" s="34">
        <f ca="1">IF(Reset=1,150,AS78*Rth_typ+$A78)</f>
        <v>84.550573900902094</v>
      </c>
      <c r="AU78" s="172">
        <f t="shared" ca="1" si="74"/>
        <v>885.84275472433001</v>
      </c>
      <c r="AV78" s="172">
        <f t="shared" ca="1" si="75"/>
        <v>369.10114780180419</v>
      </c>
      <c r="AW78" s="173">
        <f t="shared" ca="1" si="76"/>
        <v>5.3361085163115058</v>
      </c>
      <c r="AX78" s="141">
        <f t="shared" ca="1" si="77"/>
        <v>5.0744525547445258</v>
      </c>
    </row>
    <row r="79" spans="1:50" s="43" customFormat="1" ht="12.75" customHeight="1" x14ac:dyDescent="0.25">
      <c r="A79" s="27">
        <f t="shared" si="40"/>
        <v>80</v>
      </c>
      <c r="B79" s="109">
        <f t="shared" si="41"/>
        <v>5.4750000000000005</v>
      </c>
      <c r="C79" s="110">
        <f t="shared" si="42"/>
        <v>1</v>
      </c>
      <c r="D79" s="99">
        <f t="shared" ca="1" si="43"/>
        <v>95.8</v>
      </c>
      <c r="E79" s="155">
        <f t="shared" ca="1" si="44"/>
        <v>85</v>
      </c>
      <c r="F79" s="100">
        <f t="shared" ca="1" si="45"/>
        <v>3.8421384817956428E-2</v>
      </c>
      <c r="G79" s="31">
        <f t="shared" si="46"/>
        <v>2.9102348417277272E-2</v>
      </c>
      <c r="H79" s="31">
        <f t="shared" si="47"/>
        <v>3.9967500000000012E-3</v>
      </c>
      <c r="I79" s="31">
        <f ca="1">IF(Reset,1,D79/100*(C79^2+F79^2/12)*O79/1000)</f>
        <v>0.99668978873570924</v>
      </c>
      <c r="J79" s="31">
        <f ca="1">IF(Reset,1,(1-D79/100)*(C79^2+F79^2/12)*O79/1000)</f>
        <v>4.3696212032254517E-2</v>
      </c>
      <c r="K79" s="31">
        <f t="shared" si="48"/>
        <v>4.7999999999999996E-3</v>
      </c>
      <c r="L79" s="31">
        <f t="shared" si="49"/>
        <v>1.7273484172772671E-3</v>
      </c>
      <c r="M79" s="31">
        <f t="shared" ca="1" si="78"/>
        <v>1.0800124476025184</v>
      </c>
      <c r="N79" s="28">
        <f ca="1">IF(Reset=1,150,M79*Rth_typ+$A79)</f>
        <v>116.72042321848562</v>
      </c>
      <c r="O79" s="30">
        <f t="shared" ca="1" si="50"/>
        <v>1040.2580314487309</v>
      </c>
      <c r="P79" s="30">
        <f t="shared" ca="1" si="51"/>
        <v>433.44084643697124</v>
      </c>
      <c r="Q79" s="29">
        <f t="shared" ca="1" si="52"/>
        <v>4.3507971646238701</v>
      </c>
      <c r="R79" s="139">
        <f t="shared" ca="1" si="53"/>
        <v>4.3507971646238701</v>
      </c>
      <c r="S79" s="111">
        <f t="shared" si="54"/>
        <v>0.66666666666666663</v>
      </c>
      <c r="T79" s="102">
        <f t="shared" ca="1" si="55"/>
        <v>95.8</v>
      </c>
      <c r="U79" s="157">
        <f t="shared" ca="1" si="56"/>
        <v>85</v>
      </c>
      <c r="V79" s="163">
        <f t="shared" ca="1" si="57"/>
        <v>4.0361842607195678E-2</v>
      </c>
      <c r="W79" s="164">
        <f t="shared" si="58"/>
        <v>2.9102348417277272E-2</v>
      </c>
      <c r="X79" s="164">
        <f t="shared" si="59"/>
        <v>2.6645000000000011E-3</v>
      </c>
      <c r="Y79" s="164">
        <f ca="1">IF(Reset,1,T79/100*(S79^2+V79^2/12)*AE79/1000)</f>
        <v>0.39952246077632486</v>
      </c>
      <c r="Z79" s="164">
        <f ca="1">IF(Reset,1,(1-T79/100)*(S79^2+V79^2/12)*AE79/1000)</f>
        <v>1.7515598489149957E-2</v>
      </c>
      <c r="AA79" s="164">
        <f t="shared" si="60"/>
        <v>3.1999999999999997E-3</v>
      </c>
      <c r="AB79" s="164">
        <f t="shared" si="61"/>
        <v>1.7273484172772671E-3</v>
      </c>
      <c r="AC79" s="164">
        <f t="shared" ca="1" si="79"/>
        <v>0.45373225610002937</v>
      </c>
      <c r="AD79" s="32">
        <f ca="1">IF(Reset=1,150,AC79*Rth_typ+$A79)</f>
        <v>95.426896707400999</v>
      </c>
      <c r="AE79" s="165">
        <f t="shared" ca="1" si="62"/>
        <v>938.04910419552471</v>
      </c>
      <c r="AF79" s="165">
        <f t="shared" ca="1" si="63"/>
        <v>390.853793414802</v>
      </c>
      <c r="AG79" s="160">
        <f t="shared" ca="1" si="64"/>
        <v>4.7778203706307423</v>
      </c>
      <c r="AH79" s="140">
        <f t="shared" ca="1" si="65"/>
        <v>4.7778203706307423</v>
      </c>
      <c r="AI79" s="113">
        <f t="shared" si="66"/>
        <v>0.33333333333333331</v>
      </c>
      <c r="AJ79" s="107">
        <f t="shared" ca="1" si="67"/>
        <v>95.8</v>
      </c>
      <c r="AK79" s="167">
        <f t="shared" ca="1" si="68"/>
        <v>85</v>
      </c>
      <c r="AL79" s="170">
        <f t="shared" ca="1" si="69"/>
        <v>4.2037997974553189E-2</v>
      </c>
      <c r="AM79" s="171">
        <f t="shared" si="70"/>
        <v>2.9102348417277272E-2</v>
      </c>
      <c r="AN79" s="171">
        <f t="shared" si="71"/>
        <v>1.3322500000000005E-3</v>
      </c>
      <c r="AO79" s="171">
        <f ca="1">IF(Reset,1,AJ79/100*(AI79^2+AL79^2/12)*AU79/1000)</f>
        <v>9.4391068089399829E-2</v>
      </c>
      <c r="AP79" s="171">
        <f ca="1">IF(Reset,1,(1-AJ79/100)*(AI79^2+AL79^2/12)*AU79/1000)</f>
        <v>4.1382305425415409E-3</v>
      </c>
      <c r="AQ79" s="171">
        <f t="shared" si="72"/>
        <v>1.5999999999999999E-3</v>
      </c>
      <c r="AR79" s="171">
        <f t="shared" si="73"/>
        <v>1.7273484172772671E-3</v>
      </c>
      <c r="AS79" s="171">
        <f t="shared" ca="1" si="80"/>
        <v>0.1322912454664959</v>
      </c>
      <c r="AT79" s="34">
        <f ca="1">IF(Reset=1,150,AS79*Rth_typ+$A79)</f>
        <v>84.497902345860865</v>
      </c>
      <c r="AU79" s="172">
        <f t="shared" ca="1" si="74"/>
        <v>885.58993126013206</v>
      </c>
      <c r="AV79" s="172">
        <f t="shared" ca="1" si="75"/>
        <v>368.99580469172173</v>
      </c>
      <c r="AW79" s="173">
        <f t="shared" ca="1" si="76"/>
        <v>5.1205411229385662</v>
      </c>
      <c r="AX79" s="141">
        <f t="shared" ca="1" si="77"/>
        <v>5.0744525547445258</v>
      </c>
    </row>
    <row r="80" spans="1:50" s="43" customFormat="1" ht="12.75" customHeight="1" x14ac:dyDescent="0.25">
      <c r="A80" s="27">
        <f t="shared" si="40"/>
        <v>80</v>
      </c>
      <c r="B80" s="109">
        <f t="shared" si="41"/>
        <v>5.2575000000000003</v>
      </c>
      <c r="C80" s="110">
        <f t="shared" si="42"/>
        <v>1</v>
      </c>
      <c r="D80" s="99">
        <f t="shared" ca="1" si="43"/>
        <v>95.8</v>
      </c>
      <c r="E80" s="155">
        <f t="shared" ca="1" si="44"/>
        <v>85</v>
      </c>
      <c r="F80" s="100">
        <f t="shared" ca="1" si="45"/>
        <v>1.4744544821971845E-2</v>
      </c>
      <c r="G80" s="31">
        <f t="shared" si="46"/>
        <v>2.7946227726727897E-2</v>
      </c>
      <c r="H80" s="31">
        <f t="shared" si="47"/>
        <v>3.6855075000000004E-3</v>
      </c>
      <c r="I80" s="31">
        <f ca="1">IF(Reset,1,D80/100*(C80^2+F80^2/12)*O80/1000)</f>
        <v>0.99627787443226024</v>
      </c>
      <c r="J80" s="31">
        <f ca="1">IF(Reset,1,(1-D80/100)*(C80^2+F80^2/12)*O80/1000)</f>
        <v>4.3678153158825644E-2</v>
      </c>
      <c r="K80" s="31">
        <f t="shared" si="48"/>
        <v>4.7999999999999996E-3</v>
      </c>
      <c r="L80" s="31">
        <f t="shared" si="49"/>
        <v>1.6587277267278962E-3</v>
      </c>
      <c r="M80" s="31">
        <f t="shared" ca="1" si="78"/>
        <v>1.0780464905445417</v>
      </c>
      <c r="N80" s="28">
        <f ca="1">IF(Reset=1,150,M80*Rth_typ+$A80)</f>
        <v>116.65358067851442</v>
      </c>
      <c r="O80" s="30">
        <f t="shared" ca="1" si="50"/>
        <v>1039.9371872568693</v>
      </c>
      <c r="P80" s="30">
        <f t="shared" ca="1" si="51"/>
        <v>433.3071613570288</v>
      </c>
      <c r="Q80" s="29">
        <f t="shared" ca="1" si="52"/>
        <v>4.1354651679632806</v>
      </c>
      <c r="R80" s="139">
        <f t="shared" ca="1" si="53"/>
        <v>4.1354651679632806</v>
      </c>
      <c r="S80" s="111">
        <f t="shared" si="54"/>
        <v>0.66666666666666663</v>
      </c>
      <c r="T80" s="102">
        <f t="shared" ca="1" si="55"/>
        <v>95.8</v>
      </c>
      <c r="U80" s="157">
        <f t="shared" ca="1" si="56"/>
        <v>85</v>
      </c>
      <c r="V80" s="163">
        <f t="shared" ca="1" si="57"/>
        <v>1.6684564480620622E-2</v>
      </c>
      <c r="W80" s="164">
        <f t="shared" si="58"/>
        <v>2.7946227726727897E-2</v>
      </c>
      <c r="X80" s="164">
        <f t="shared" si="59"/>
        <v>2.457005E-3</v>
      </c>
      <c r="Y80" s="164">
        <f ca="1">IF(Reset,1,T80/100*(S80^2+V80^2/12)*AE80/1000)</f>
        <v>0.39930608786344191</v>
      </c>
      <c r="Z80" s="164">
        <f ca="1">IF(Reset,1,(1-T80/100)*(S80^2+V80^2/12)*AE80/1000)</f>
        <v>1.7506112411549663E-2</v>
      </c>
      <c r="AA80" s="164">
        <f t="shared" si="60"/>
        <v>3.1999999999999997E-3</v>
      </c>
      <c r="AB80" s="164">
        <f t="shared" si="61"/>
        <v>1.6587277267278962E-3</v>
      </c>
      <c r="AC80" s="164">
        <f t="shared" ca="1" si="79"/>
        <v>0.45207416072844731</v>
      </c>
      <c r="AD80" s="32">
        <f ca="1">IF(Reset=1,150,AC80*Rth_typ+$A80)</f>
        <v>95.370521464767208</v>
      </c>
      <c r="AE80" s="165">
        <f t="shared" ca="1" si="62"/>
        <v>937.77850303088258</v>
      </c>
      <c r="AF80" s="165">
        <f t="shared" ca="1" si="63"/>
        <v>390.74104292953439</v>
      </c>
      <c r="AG80" s="160">
        <f t="shared" ca="1" si="64"/>
        <v>4.5623486269199862</v>
      </c>
      <c r="AH80" s="140">
        <f t="shared" ca="1" si="65"/>
        <v>4.5623486269199862</v>
      </c>
      <c r="AI80" s="113">
        <f t="shared" si="66"/>
        <v>0.33333333333333331</v>
      </c>
      <c r="AJ80" s="107">
        <f t="shared" ca="1" si="67"/>
        <v>95.8</v>
      </c>
      <c r="AK80" s="167">
        <f t="shared" ca="1" si="68"/>
        <v>85</v>
      </c>
      <c r="AL80" s="170">
        <f t="shared" ca="1" si="69"/>
        <v>1.8360404926525149E-2</v>
      </c>
      <c r="AM80" s="171">
        <f t="shared" si="70"/>
        <v>2.7946227726727897E-2</v>
      </c>
      <c r="AN80" s="171">
        <f t="shared" si="71"/>
        <v>1.2285025E-3</v>
      </c>
      <c r="AO80" s="171">
        <f ca="1">IF(Reset,1,AJ80/100*(AI80^2+AL80^2/12)*AU80/1000)</f>
        <v>9.4264583226963766E-2</v>
      </c>
      <c r="AP80" s="171">
        <f ca="1">IF(Reset,1,(1-AJ80/100)*(AI80^2+AL80^2/12)*AU80/1000)</f>
        <v>4.1326852771737801E-3</v>
      </c>
      <c r="AQ80" s="171">
        <f t="shared" si="72"/>
        <v>1.5999999999999999E-3</v>
      </c>
      <c r="AR80" s="171">
        <f t="shared" si="73"/>
        <v>1.6587277267278962E-3</v>
      </c>
      <c r="AS80" s="171">
        <f t="shared" ca="1" si="80"/>
        <v>0.13083072645759333</v>
      </c>
      <c r="AT80" s="34">
        <f ca="1">IF(Reset=1,150,AS80*Rth_typ+$A80)</f>
        <v>84.448244699558174</v>
      </c>
      <c r="AU80" s="172">
        <f t="shared" ca="1" si="74"/>
        <v>885.3515745578793</v>
      </c>
      <c r="AV80" s="172">
        <f t="shared" ca="1" si="75"/>
        <v>368.89648939911638</v>
      </c>
      <c r="AW80" s="173">
        <f t="shared" ca="1" si="76"/>
        <v>4.9049689312219895</v>
      </c>
      <c r="AX80" s="141">
        <f t="shared" ca="1" si="77"/>
        <v>4.9049689312219895</v>
      </c>
    </row>
    <row r="81" spans="1:50" s="43" customFormat="1" ht="12.75" customHeight="1" x14ac:dyDescent="0.25">
      <c r="A81" s="27">
        <f t="shared" si="40"/>
        <v>80</v>
      </c>
      <c r="B81" s="109">
        <f t="shared" si="41"/>
        <v>5.04</v>
      </c>
      <c r="C81" s="110">
        <f t="shared" si="42"/>
        <v>1</v>
      </c>
      <c r="D81" s="99">
        <f t="shared" ca="1" si="43"/>
        <v>95.8</v>
      </c>
      <c r="E81" s="155">
        <f t="shared" ca="1" si="44"/>
        <v>85</v>
      </c>
      <c r="F81" s="100">
        <f t="shared" ca="1" si="45"/>
        <v>0</v>
      </c>
      <c r="G81" s="31">
        <f t="shared" si="46"/>
        <v>2.6790107036178526E-2</v>
      </c>
      <c r="H81" s="31">
        <f t="shared" si="47"/>
        <v>3.3868800000000005E-3</v>
      </c>
      <c r="I81" s="31">
        <f ca="1">IF(Reset,1,D81/100*(C81^2+F81^2/12)*O81/1000)</f>
        <v>0.99597168291467364</v>
      </c>
      <c r="J81" s="31">
        <f ca="1">IF(Reset,1,(1-D81/100)*(C81^2+F81^2/12)*O81/1000)</f>
        <v>4.3664729313586989E-2</v>
      </c>
      <c r="K81" s="31">
        <f t="shared" si="48"/>
        <v>4.7999999999999996E-3</v>
      </c>
      <c r="L81" s="31">
        <f t="shared" si="49"/>
        <v>1.5901070361785249E-3</v>
      </c>
      <c r="M81" s="31">
        <f t="shared" ca="1" si="78"/>
        <v>1.0762035063006177</v>
      </c>
      <c r="N81" s="28">
        <f ca="1">IF(Reset=1,150,M81*Rth_typ+$A81)</f>
        <v>116.590919214221</v>
      </c>
      <c r="O81" s="30">
        <f t="shared" ca="1" si="50"/>
        <v>1039.6364122282607</v>
      </c>
      <c r="P81" s="30">
        <f t="shared" ca="1" si="51"/>
        <v>433.18183842844201</v>
      </c>
      <c r="Q81" s="29">
        <f t="shared" ca="1" si="52"/>
        <v>3.9201132016490381</v>
      </c>
      <c r="R81" s="139">
        <f t="shared" ca="1" si="53"/>
        <v>3.9201132016490381</v>
      </c>
      <c r="S81" s="111">
        <f t="shared" si="54"/>
        <v>0.66666666666666663</v>
      </c>
      <c r="T81" s="102">
        <f t="shared" ca="1" si="55"/>
        <v>95.8</v>
      </c>
      <c r="U81" s="157">
        <f t="shared" ca="1" si="56"/>
        <v>85</v>
      </c>
      <c r="V81" s="163">
        <f t="shared" ca="1" si="57"/>
        <v>0</v>
      </c>
      <c r="W81" s="164">
        <f t="shared" si="58"/>
        <v>2.6790107036178526E-2</v>
      </c>
      <c r="X81" s="164">
        <f t="shared" si="59"/>
        <v>2.2579200000000001E-3</v>
      </c>
      <c r="Y81" s="164">
        <f ca="1">IF(Reset,1,T81/100*(S81^2+V81^2/12)*AE81/1000)</f>
        <v>0.39917694238759011</v>
      </c>
      <c r="Z81" s="164">
        <f ca="1">IF(Reset,1,(1-T81/100)*(S81^2+V81^2/12)*AE81/1000)</f>
        <v>1.7500450501334863E-2</v>
      </c>
      <c r="AA81" s="164">
        <f t="shared" si="60"/>
        <v>3.1999999999999997E-3</v>
      </c>
      <c r="AB81" s="164">
        <f t="shared" si="61"/>
        <v>1.5901070361785249E-3</v>
      </c>
      <c r="AC81" s="164">
        <f t="shared" ca="1" si="79"/>
        <v>0.450515526961282</v>
      </c>
      <c r="AD81" s="32">
        <f ca="1">IF(Reset=1,150,AC81*Rth_typ+$A81)</f>
        <v>95.317527916683588</v>
      </c>
      <c r="AE81" s="165">
        <f t="shared" ca="1" si="62"/>
        <v>937.52413400008118</v>
      </c>
      <c r="AF81" s="165">
        <f t="shared" ca="1" si="63"/>
        <v>390.63505583336718</v>
      </c>
      <c r="AG81" s="160">
        <f t="shared" ca="1" si="64"/>
        <v>4.3468661154428911</v>
      </c>
      <c r="AH81" s="140">
        <f t="shared" ca="1" si="65"/>
        <v>4.3468661154428911</v>
      </c>
      <c r="AI81" s="113">
        <f t="shared" si="66"/>
        <v>0.33333333333333331</v>
      </c>
      <c r="AJ81" s="107">
        <f t="shared" ca="1" si="67"/>
        <v>95.8</v>
      </c>
      <c r="AK81" s="167">
        <f t="shared" ca="1" si="68"/>
        <v>85</v>
      </c>
      <c r="AL81" s="170">
        <f t="shared" ca="1" si="69"/>
        <v>0</v>
      </c>
      <c r="AM81" s="171">
        <f t="shared" si="70"/>
        <v>2.6790107036178526E-2</v>
      </c>
      <c r="AN81" s="171">
        <f t="shared" si="71"/>
        <v>1.12896E-3</v>
      </c>
      <c r="AO81" s="171">
        <f ca="1">IF(Reset,1,AJ81/100*(AI81^2+AL81^2/12)*AU81/1000)</f>
        <v>9.4216886484456711E-2</v>
      </c>
      <c r="AP81" s="171">
        <f ca="1">IF(Reset,1,(1-AJ81/100)*(AI81^2+AL81^2/12)*AU81/1000)</f>
        <v>4.130594188253847E-3</v>
      </c>
      <c r="AQ81" s="171">
        <f t="shared" si="72"/>
        <v>1.5999999999999999E-3</v>
      </c>
      <c r="AR81" s="171">
        <f t="shared" si="73"/>
        <v>1.5901070361785249E-3</v>
      </c>
      <c r="AS81" s="171">
        <f t="shared" ca="1" si="80"/>
        <v>0.1294566547450676</v>
      </c>
      <c r="AT81" s="34">
        <f ca="1">IF(Reset=1,150,AS81*Rth_typ+$A81)</f>
        <v>84.401526261332293</v>
      </c>
      <c r="AU81" s="172">
        <f t="shared" ca="1" si="74"/>
        <v>885.12732605439498</v>
      </c>
      <c r="AV81" s="172">
        <f t="shared" ca="1" si="75"/>
        <v>368.80305252266459</v>
      </c>
      <c r="AW81" s="173">
        <f t="shared" ca="1" si="76"/>
        <v>4.6893920600902073</v>
      </c>
      <c r="AX81" s="141">
        <f t="shared" ca="1" si="77"/>
        <v>4.6893920600902073</v>
      </c>
    </row>
    <row r="82" spans="1:50" s="43" customFormat="1" ht="12.75" customHeight="1" x14ac:dyDescent="0.25">
      <c r="A82" s="27">
        <f t="shared" si="40"/>
        <v>80</v>
      </c>
      <c r="B82" s="109">
        <f t="shared" si="41"/>
        <v>4.8224999999999998</v>
      </c>
      <c r="C82" s="110">
        <f t="shared" si="42"/>
        <v>1</v>
      </c>
      <c r="D82" s="99">
        <f t="shared" ca="1" si="43"/>
        <v>95.8</v>
      </c>
      <c r="E82" s="155">
        <f t="shared" ca="1" si="44"/>
        <v>85</v>
      </c>
      <c r="F82" s="100">
        <f t="shared" ca="1" si="45"/>
        <v>0</v>
      </c>
      <c r="G82" s="31">
        <f t="shared" si="46"/>
        <v>2.5633986345629151E-2</v>
      </c>
      <c r="H82" s="31">
        <f t="shared" si="47"/>
        <v>3.1008674999999995E-3</v>
      </c>
      <c r="I82" s="31">
        <f ca="1">IF(Reset,1,D82/100*(C82^2+F82^2/12)*O82/1000)</f>
        <v>0.99568941747252204</v>
      </c>
      <c r="J82" s="31">
        <f ca="1">IF(Reset,1,(1-D82/100)*(C82^2+F82^2/12)*O82/1000)</f>
        <v>4.3652354419463427E-2</v>
      </c>
      <c r="K82" s="31">
        <f t="shared" si="48"/>
        <v>4.7999999999999996E-3</v>
      </c>
      <c r="L82" s="31">
        <f t="shared" si="49"/>
        <v>1.521486345629154E-3</v>
      </c>
      <c r="M82" s="31">
        <f t="shared" ca="1" si="78"/>
        <v>1.0743981120832438</v>
      </c>
      <c r="N82" s="28">
        <f ca="1">IF(Reset=1,150,M82*Rth_typ+$A82)</f>
        <v>116.52953581083028</v>
      </c>
      <c r="O82" s="30">
        <f t="shared" ca="1" si="50"/>
        <v>1039.3417718919854</v>
      </c>
      <c r="P82" s="30">
        <f t="shared" ca="1" si="51"/>
        <v>433.05907162166056</v>
      </c>
      <c r="Q82" s="29">
        <f t="shared" ca="1" si="52"/>
        <v>3.7047551310603124</v>
      </c>
      <c r="R82" s="139">
        <f t="shared" ca="1" si="53"/>
        <v>3.7047551310603124</v>
      </c>
      <c r="S82" s="111">
        <f t="shared" si="54"/>
        <v>0.66666666666666663</v>
      </c>
      <c r="T82" s="102">
        <f t="shared" ca="1" si="55"/>
        <v>95.8</v>
      </c>
      <c r="U82" s="157">
        <f t="shared" ca="1" si="56"/>
        <v>85</v>
      </c>
      <c r="V82" s="163">
        <f t="shared" ca="1" si="57"/>
        <v>0</v>
      </c>
      <c r="W82" s="164">
        <f t="shared" si="58"/>
        <v>2.5633986345629151E-2</v>
      </c>
      <c r="X82" s="164">
        <f t="shared" si="59"/>
        <v>2.0672449999999997E-3</v>
      </c>
      <c r="Y82" s="164">
        <f ca="1">IF(Reset,1,T82/100*(S82^2+V82^2/12)*AE82/1000)</f>
        <v>0.39907089766679621</v>
      </c>
      <c r="Z82" s="164">
        <f ca="1">IF(Reset,1,(1-T82/100)*(S82^2+V82^2/12)*AE82/1000)</f>
        <v>1.7495801359087113E-2</v>
      </c>
      <c r="AA82" s="164">
        <f t="shared" si="60"/>
        <v>3.1999999999999997E-3</v>
      </c>
      <c r="AB82" s="164">
        <f t="shared" si="61"/>
        <v>1.521486345629154E-3</v>
      </c>
      <c r="AC82" s="164">
        <f t="shared" ca="1" si="79"/>
        <v>0.4489894167171416</v>
      </c>
      <c r="AD82" s="32">
        <f ca="1">IF(Reset=1,150,AC82*Rth_typ+$A82)</f>
        <v>95.265640168382816</v>
      </c>
      <c r="AE82" s="165">
        <f t="shared" ca="1" si="62"/>
        <v>937.2750728082375</v>
      </c>
      <c r="AF82" s="165">
        <f t="shared" ca="1" si="63"/>
        <v>390.53128033676563</v>
      </c>
      <c r="AG82" s="160">
        <f t="shared" ca="1" si="64"/>
        <v>4.1313800829518463</v>
      </c>
      <c r="AH82" s="140">
        <f t="shared" ca="1" si="65"/>
        <v>4.1313800829518463</v>
      </c>
      <c r="AI82" s="113">
        <f t="shared" si="66"/>
        <v>0.33333333333333331</v>
      </c>
      <c r="AJ82" s="107">
        <f t="shared" ca="1" si="67"/>
        <v>95.8</v>
      </c>
      <c r="AK82" s="167">
        <f t="shared" ca="1" si="68"/>
        <v>85</v>
      </c>
      <c r="AL82" s="170">
        <f t="shared" ca="1" si="69"/>
        <v>0</v>
      </c>
      <c r="AM82" s="171">
        <f t="shared" si="70"/>
        <v>2.5633986345629151E-2</v>
      </c>
      <c r="AN82" s="171">
        <f t="shared" si="71"/>
        <v>1.0336224999999998E-3</v>
      </c>
      <c r="AO82" s="171">
        <f ca="1">IF(Reset,1,AJ82/100*(AI82^2+AL82^2/12)*AU82/1000)</f>
        <v>9.4193530911770573E-2</v>
      </c>
      <c r="AP82" s="171">
        <f ca="1">IF(Reset,1,(1-AJ82/100)*(AI82^2+AL82^2/12)*AU82/1000)</f>
        <v>4.1295702487415108E-3</v>
      </c>
      <c r="AQ82" s="171">
        <f t="shared" si="72"/>
        <v>1.5999999999999999E-3</v>
      </c>
      <c r="AR82" s="171">
        <f t="shared" si="73"/>
        <v>1.521486345629154E-3</v>
      </c>
      <c r="AS82" s="171">
        <f t="shared" ca="1" si="80"/>
        <v>0.1281121963517704</v>
      </c>
      <c r="AT82" s="34">
        <f ca="1">IF(Reset=1,150,AS82*Rth_typ+$A82)</f>
        <v>84.35581467596019</v>
      </c>
      <c r="AU82" s="172">
        <f t="shared" ca="1" si="74"/>
        <v>884.90791044460889</v>
      </c>
      <c r="AV82" s="172">
        <f t="shared" ca="1" si="75"/>
        <v>368.71162935192035</v>
      </c>
      <c r="AW82" s="173">
        <f t="shared" ca="1" si="76"/>
        <v>4.47381358598156</v>
      </c>
      <c r="AX82" s="141">
        <f t="shared" ca="1" si="77"/>
        <v>4.47381358598156</v>
      </c>
    </row>
    <row r="83" spans="1:50" s="43" customFormat="1" ht="12.75" customHeight="1" x14ac:dyDescent="0.25">
      <c r="A83" s="27">
        <f t="shared" si="40"/>
        <v>80</v>
      </c>
      <c r="B83" s="109">
        <f t="shared" si="41"/>
        <v>4.6049999999999995</v>
      </c>
      <c r="C83" s="110">
        <f t="shared" si="42"/>
        <v>1</v>
      </c>
      <c r="D83" s="99">
        <f t="shared" ca="1" si="43"/>
        <v>95.8</v>
      </c>
      <c r="E83" s="155">
        <f t="shared" ca="1" si="44"/>
        <v>85</v>
      </c>
      <c r="F83" s="100">
        <f t="shared" ca="1" si="45"/>
        <v>0</v>
      </c>
      <c r="G83" s="31">
        <f t="shared" si="46"/>
        <v>2.447786565507978E-2</v>
      </c>
      <c r="H83" s="31">
        <f t="shared" si="47"/>
        <v>2.8274699999999995E-3</v>
      </c>
      <c r="I83" s="31">
        <f ca="1">IF(Reset,1,D83/100*(C83^2+F83^2/12)*O83/1000)</f>
        <v>0.99540950898513092</v>
      </c>
      <c r="J83" s="31">
        <f ca="1">IF(Reset,1,(1-D83/100)*(C83^2+F83^2/12)*O83/1000)</f>
        <v>4.3640082857385742E-2</v>
      </c>
      <c r="K83" s="31">
        <f t="shared" si="48"/>
        <v>4.7999999999999996E-3</v>
      </c>
      <c r="L83" s="31">
        <f t="shared" si="49"/>
        <v>1.4528656550797832E-3</v>
      </c>
      <c r="M83" s="31">
        <f t="shared" ca="1" si="78"/>
        <v>1.0726077931526763</v>
      </c>
      <c r="N83" s="28">
        <f ca="1">IF(Reset=1,150,M83*Rth_typ+$A83)</f>
        <v>116.46866496719099</v>
      </c>
      <c r="O83" s="30">
        <f t="shared" ca="1" si="50"/>
        <v>1039.0495918425167</v>
      </c>
      <c r="P83" s="30">
        <f t="shared" ca="1" si="51"/>
        <v>432.93732993438198</v>
      </c>
      <c r="Q83" s="29">
        <f t="shared" ca="1" si="52"/>
        <v>3.4893946123837023</v>
      </c>
      <c r="R83" s="139">
        <f t="shared" ca="1" si="53"/>
        <v>3.4893946123837023</v>
      </c>
      <c r="S83" s="111">
        <f t="shared" si="54"/>
        <v>0.66666666666666663</v>
      </c>
      <c r="T83" s="102">
        <f t="shared" ca="1" si="55"/>
        <v>95.8</v>
      </c>
      <c r="U83" s="157">
        <f t="shared" ca="1" si="56"/>
        <v>85</v>
      </c>
      <c r="V83" s="163">
        <f t="shared" ca="1" si="57"/>
        <v>0</v>
      </c>
      <c r="W83" s="164">
        <f t="shared" si="58"/>
        <v>2.447786565507978E-2</v>
      </c>
      <c r="X83" s="164">
        <f t="shared" si="59"/>
        <v>1.8849799999999994E-3</v>
      </c>
      <c r="Y83" s="164">
        <f ca="1">IF(Reset,1,T83/100*(S83^2+V83^2/12)*AE83/1000)</f>
        <v>0.39896548303345486</v>
      </c>
      <c r="Z83" s="164">
        <f ca="1">IF(Reset,1,(1-T83/100)*(S83^2+V83^2/12)*AE83/1000)</f>
        <v>1.7491179840715156E-2</v>
      </c>
      <c r="AA83" s="164">
        <f t="shared" si="60"/>
        <v>3.1999999999999997E-3</v>
      </c>
      <c r="AB83" s="164">
        <f t="shared" si="61"/>
        <v>1.4528656550797832E-3</v>
      </c>
      <c r="AC83" s="164">
        <f t="shared" ca="1" si="79"/>
        <v>0.44747237418432956</v>
      </c>
      <c r="AD83" s="32">
        <f ca="1">IF(Reset=1,150,AC83*Rth_typ+$A83)</f>
        <v>95.214060722267206</v>
      </c>
      <c r="AE83" s="165">
        <f t="shared" ca="1" si="62"/>
        <v>937.02749146688257</v>
      </c>
      <c r="AF83" s="165">
        <f t="shared" ca="1" si="63"/>
        <v>390.42812144453444</v>
      </c>
      <c r="AG83" s="160">
        <f t="shared" ca="1" si="64"/>
        <v>3.9158930687855378</v>
      </c>
      <c r="AH83" s="140">
        <f t="shared" ca="1" si="65"/>
        <v>3.9158930687855378</v>
      </c>
      <c r="AI83" s="113">
        <f t="shared" si="66"/>
        <v>0.33333333333333331</v>
      </c>
      <c r="AJ83" s="107">
        <f t="shared" ca="1" si="67"/>
        <v>95.8</v>
      </c>
      <c r="AK83" s="167">
        <f t="shared" ca="1" si="68"/>
        <v>85</v>
      </c>
      <c r="AL83" s="170">
        <f t="shared" ca="1" si="69"/>
        <v>0</v>
      </c>
      <c r="AM83" s="171">
        <f t="shared" si="70"/>
        <v>2.447786565507978E-2</v>
      </c>
      <c r="AN83" s="171">
        <f t="shared" si="71"/>
        <v>9.4248999999999971E-4</v>
      </c>
      <c r="AO83" s="171">
        <f ca="1">IF(Reset,1,AJ83/100*(AI83^2+AL83^2/12)*AU83/1000)</f>
        <v>9.4170249736292511E-2</v>
      </c>
      <c r="AP83" s="171">
        <f ca="1">IF(Reset,1,(1-AJ83/100)*(AI83^2+AL83^2/12)*AU83/1000)</f>
        <v>4.1285495709021802E-3</v>
      </c>
      <c r="AQ83" s="171">
        <f t="shared" si="72"/>
        <v>1.5999999999999999E-3</v>
      </c>
      <c r="AR83" s="171">
        <f t="shared" si="73"/>
        <v>1.4528656550797832E-3</v>
      </c>
      <c r="AS83" s="171">
        <f t="shared" ca="1" si="80"/>
        <v>0.12677202061735426</v>
      </c>
      <c r="AT83" s="34">
        <f ca="1">IF(Reset=1,150,AS83*Rth_typ+$A83)</f>
        <v>84.310248700990044</v>
      </c>
      <c r="AU83" s="172">
        <f t="shared" ca="1" si="74"/>
        <v>884.68919376475219</v>
      </c>
      <c r="AV83" s="172">
        <f t="shared" ca="1" si="75"/>
        <v>368.62049740198006</v>
      </c>
      <c r="AW83" s="173">
        <f t="shared" ca="1" si="76"/>
        <v>4.2582348800514431</v>
      </c>
      <c r="AX83" s="141">
        <f t="shared" ca="1" si="77"/>
        <v>4.2582348800514431</v>
      </c>
    </row>
    <row r="84" spans="1:50" s="43" customFormat="1" ht="12.75" customHeight="1" x14ac:dyDescent="0.25">
      <c r="A84" s="27">
        <f t="shared" si="40"/>
        <v>80</v>
      </c>
      <c r="B84" s="109">
        <f t="shared" si="41"/>
        <v>4.3874999999999993</v>
      </c>
      <c r="C84" s="110">
        <f t="shared" si="42"/>
        <v>1</v>
      </c>
      <c r="D84" s="99">
        <f t="shared" ca="1" si="43"/>
        <v>95.8</v>
      </c>
      <c r="E84" s="155">
        <f t="shared" ca="1" si="44"/>
        <v>85</v>
      </c>
      <c r="F84" s="100">
        <f t="shared" ca="1" si="45"/>
        <v>0</v>
      </c>
      <c r="G84" s="31">
        <f t="shared" si="46"/>
        <v>2.3321744964530409E-2</v>
      </c>
      <c r="H84" s="31">
        <f t="shared" si="47"/>
        <v>2.5666874999999991E-3</v>
      </c>
      <c r="I84" s="31">
        <f ca="1">IF(Reset,1,D84/100*(C84^2+F84^2/12)*O84/1000)</f>
        <v>0.99513195745250116</v>
      </c>
      <c r="J84" s="31">
        <f ca="1">IF(Reset,1,(1-D84/100)*(C84^2+F84^2/12)*O84/1000)</f>
        <v>4.362791462735395E-2</v>
      </c>
      <c r="K84" s="31">
        <f t="shared" si="48"/>
        <v>4.7999999999999996E-3</v>
      </c>
      <c r="L84" s="31">
        <f t="shared" si="49"/>
        <v>1.3842449645304123E-3</v>
      </c>
      <c r="M84" s="31">
        <f t="shared" ca="1" si="78"/>
        <v>1.0708325495089159</v>
      </c>
      <c r="N84" s="28">
        <f ca="1">IF(Reset=1,150,M84*Rth_typ+$A84)</f>
        <v>116.40830668330314</v>
      </c>
      <c r="O84" s="30">
        <f t="shared" ca="1" si="50"/>
        <v>1038.7598720798551</v>
      </c>
      <c r="P84" s="30">
        <f t="shared" ca="1" si="51"/>
        <v>432.81661336660625</v>
      </c>
      <c r="Q84" s="29">
        <f t="shared" ca="1" si="52"/>
        <v>3.2740316456192069</v>
      </c>
      <c r="R84" s="139">
        <f t="shared" ca="1" si="53"/>
        <v>3.2740316456192069</v>
      </c>
      <c r="S84" s="111">
        <f t="shared" si="54"/>
        <v>0.66666666666666663</v>
      </c>
      <c r="T84" s="102">
        <f t="shared" ca="1" si="55"/>
        <v>95.8</v>
      </c>
      <c r="U84" s="157">
        <f t="shared" ca="1" si="56"/>
        <v>85</v>
      </c>
      <c r="V84" s="163">
        <f t="shared" ca="1" si="57"/>
        <v>0</v>
      </c>
      <c r="W84" s="164">
        <f t="shared" si="58"/>
        <v>2.3321744964530409E-2</v>
      </c>
      <c r="X84" s="164">
        <f t="shared" si="59"/>
        <v>1.7111249999999993E-3</v>
      </c>
      <c r="Y84" s="164">
        <f ca="1">IF(Reset,1,T84/100*(S84^2+V84^2/12)*AE84/1000)</f>
        <v>0.39886069848756611</v>
      </c>
      <c r="Z84" s="164">
        <f ca="1">IF(Reset,1,(1-T84/100)*(S84^2+V84^2/12)*AE84/1000)</f>
        <v>1.7486585946218988E-2</v>
      </c>
      <c r="AA84" s="164">
        <f t="shared" si="60"/>
        <v>3.1999999999999997E-3</v>
      </c>
      <c r="AB84" s="164">
        <f t="shared" si="61"/>
        <v>1.3842449645304123E-3</v>
      </c>
      <c r="AC84" s="164">
        <f t="shared" ca="1" si="79"/>
        <v>0.44596439936284593</v>
      </c>
      <c r="AD84" s="32">
        <f ca="1">IF(Reset=1,150,AC84*Rth_typ+$A84)</f>
        <v>95.162789578336756</v>
      </c>
      <c r="AE84" s="165">
        <f t="shared" ca="1" si="62"/>
        <v>936.7813899760165</v>
      </c>
      <c r="AF84" s="165">
        <f t="shared" ca="1" si="63"/>
        <v>390.32557915667348</v>
      </c>
      <c r="AG84" s="160">
        <f t="shared" ca="1" si="64"/>
        <v>3.7004050729439646</v>
      </c>
      <c r="AH84" s="140">
        <f t="shared" ca="1" si="65"/>
        <v>3.7004050729439646</v>
      </c>
      <c r="AI84" s="113">
        <f t="shared" si="66"/>
        <v>0.33333333333333331</v>
      </c>
      <c r="AJ84" s="107">
        <f t="shared" ca="1" si="67"/>
        <v>95.8</v>
      </c>
      <c r="AK84" s="167">
        <f t="shared" ca="1" si="68"/>
        <v>85</v>
      </c>
      <c r="AL84" s="170">
        <f t="shared" ca="1" si="69"/>
        <v>0</v>
      </c>
      <c r="AM84" s="171">
        <f t="shared" si="70"/>
        <v>2.3321744964530409E-2</v>
      </c>
      <c r="AN84" s="171">
        <f t="shared" si="71"/>
        <v>8.5556249999999966E-4</v>
      </c>
      <c r="AO84" s="171">
        <f ca="1">IF(Reset,1,AJ84/100*(AI84^2+AL84^2/12)*AU84/1000)</f>
        <v>9.4147042958022467E-2</v>
      </c>
      <c r="AP84" s="171">
        <f ca="1">IF(Reset,1,(1-AJ84/100)*(AI84^2+AL84^2/12)*AU84/1000)</f>
        <v>4.1275321547358532E-3</v>
      </c>
      <c r="AQ84" s="171">
        <f t="shared" si="72"/>
        <v>1.5999999999999999E-3</v>
      </c>
      <c r="AR84" s="171">
        <f t="shared" si="73"/>
        <v>1.3842449645304123E-3</v>
      </c>
      <c r="AS84" s="171">
        <f t="shared" ca="1" si="80"/>
        <v>0.12543612754181915</v>
      </c>
      <c r="AT84" s="34">
        <f ca="1">IF(Reset=1,150,AS84*Rth_typ+$A84)</f>
        <v>84.264828336421857</v>
      </c>
      <c r="AU84" s="172">
        <f t="shared" ca="1" si="74"/>
        <v>884.47117601482489</v>
      </c>
      <c r="AV84" s="172">
        <f t="shared" ca="1" si="75"/>
        <v>368.52965667284371</v>
      </c>
      <c r="AW84" s="173">
        <f t="shared" ca="1" si="76"/>
        <v>4.0426559422998594</v>
      </c>
      <c r="AX84" s="141">
        <f t="shared" ca="1" si="77"/>
        <v>4.0426559422998594</v>
      </c>
    </row>
    <row r="85" spans="1:50" s="43" customFormat="1" ht="12.75" customHeight="1" x14ac:dyDescent="0.25">
      <c r="A85" s="27">
        <f t="shared" si="40"/>
        <v>80</v>
      </c>
      <c r="B85" s="109">
        <f t="shared" si="41"/>
        <v>4.169999999999999</v>
      </c>
      <c r="C85" s="110">
        <f t="shared" si="42"/>
        <v>1</v>
      </c>
      <c r="D85" s="99">
        <f t="shared" ca="1" si="43"/>
        <v>95.8</v>
      </c>
      <c r="E85" s="155">
        <f t="shared" ca="1" si="44"/>
        <v>85</v>
      </c>
      <c r="F85" s="100">
        <f t="shared" ca="1" si="45"/>
        <v>0</v>
      </c>
      <c r="G85" s="31">
        <f t="shared" si="46"/>
        <v>2.2165624273981034E-2</v>
      </c>
      <c r="H85" s="31">
        <f t="shared" si="47"/>
        <v>2.3185199999999993E-3</v>
      </c>
      <c r="I85" s="31">
        <f ca="1">IF(Reset,1,D85/100*(C85^2+F85^2/12)*O85/1000)</f>
        <v>0.99485676287463221</v>
      </c>
      <c r="J85" s="31">
        <f ca="1">IF(Reset,1,(1-D85/100)*(C85^2+F85^2/12)*O85/1000)</f>
        <v>4.361584972936805E-2</v>
      </c>
      <c r="K85" s="31">
        <f t="shared" si="48"/>
        <v>4.7999999999999996E-3</v>
      </c>
      <c r="L85" s="31">
        <f t="shared" si="49"/>
        <v>1.3156242739810415E-3</v>
      </c>
      <c r="M85" s="31">
        <f t="shared" ca="1" si="78"/>
        <v>1.0690723811519625</v>
      </c>
      <c r="N85" s="28">
        <f ca="1">IF(Reset=1,150,M85*Rth_typ+$A85)</f>
        <v>116.34846095916672</v>
      </c>
      <c r="O85" s="30">
        <f t="shared" ca="1" si="50"/>
        <v>1038.4726126040002</v>
      </c>
      <c r="P85" s="30">
        <f t="shared" ca="1" si="51"/>
        <v>432.69692191833343</v>
      </c>
      <c r="Q85" s="29">
        <f t="shared" ca="1" si="52"/>
        <v>3.0586662307668275</v>
      </c>
      <c r="R85" s="139">
        <f t="shared" ca="1" si="53"/>
        <v>3.0586662307668275</v>
      </c>
      <c r="S85" s="111">
        <f t="shared" si="54"/>
        <v>0.66666666666666663</v>
      </c>
      <c r="T85" s="102">
        <f t="shared" ca="1" si="55"/>
        <v>95.8</v>
      </c>
      <c r="U85" s="157">
        <f t="shared" ca="1" si="56"/>
        <v>85</v>
      </c>
      <c r="V85" s="163">
        <f t="shared" ca="1" si="57"/>
        <v>0</v>
      </c>
      <c r="W85" s="164">
        <f t="shared" si="58"/>
        <v>2.2165624273981034E-2</v>
      </c>
      <c r="X85" s="164">
        <f t="shared" si="59"/>
        <v>1.5456799999999996E-3</v>
      </c>
      <c r="Y85" s="164">
        <f ca="1">IF(Reset,1,T85/100*(S85^2+V85^2/12)*AE85/1000)</f>
        <v>0.39875654402912991</v>
      </c>
      <c r="Z85" s="164">
        <f ca="1">IF(Reset,1,(1-T85/100)*(S85^2+V85^2/12)*AE85/1000)</f>
        <v>1.748201967559861E-2</v>
      </c>
      <c r="AA85" s="164">
        <f t="shared" si="60"/>
        <v>3.1999999999999997E-3</v>
      </c>
      <c r="AB85" s="164">
        <f t="shared" si="61"/>
        <v>1.3156242739810415E-3</v>
      </c>
      <c r="AC85" s="164">
        <f t="shared" ca="1" si="79"/>
        <v>0.44446549225269055</v>
      </c>
      <c r="AD85" s="32">
        <f ca="1">IF(Reset=1,150,AC85*Rth_typ+$A85)</f>
        <v>95.111826736591482</v>
      </c>
      <c r="AE85" s="165">
        <f t="shared" ca="1" si="62"/>
        <v>936.53676833563918</v>
      </c>
      <c r="AF85" s="165">
        <f t="shared" ca="1" si="63"/>
        <v>390.22365347318294</v>
      </c>
      <c r="AG85" s="160">
        <f t="shared" ca="1" si="64"/>
        <v>3.4849160954271268</v>
      </c>
      <c r="AH85" s="140">
        <f t="shared" ca="1" si="65"/>
        <v>3.4849160954271268</v>
      </c>
      <c r="AI85" s="113">
        <f t="shared" si="66"/>
        <v>0.33333333333333331</v>
      </c>
      <c r="AJ85" s="107">
        <f t="shared" ca="1" si="67"/>
        <v>95.8</v>
      </c>
      <c r="AK85" s="167">
        <f t="shared" ca="1" si="68"/>
        <v>85</v>
      </c>
      <c r="AL85" s="170">
        <f t="shared" ca="1" si="69"/>
        <v>0</v>
      </c>
      <c r="AM85" s="171">
        <f t="shared" si="70"/>
        <v>2.2165624273981034E-2</v>
      </c>
      <c r="AN85" s="171">
        <f t="shared" si="71"/>
        <v>7.7283999999999979E-4</v>
      </c>
      <c r="AO85" s="171">
        <f ca="1">IF(Reset,1,AJ85/100*(AI85^2+AL85^2/12)*AU85/1000)</f>
        <v>9.4123910576960457E-2</v>
      </c>
      <c r="AP85" s="171">
        <f ca="1">IF(Reset,1,(1-AJ85/100)*(AI85^2+AL85^2/12)*AU85/1000)</f>
        <v>4.1265180002425282E-3</v>
      </c>
      <c r="AQ85" s="171">
        <f t="shared" si="72"/>
        <v>1.5999999999999999E-3</v>
      </c>
      <c r="AR85" s="171">
        <f t="shared" si="73"/>
        <v>1.3156242739810415E-3</v>
      </c>
      <c r="AS85" s="171">
        <f t="shared" ca="1" si="80"/>
        <v>0.12410451712516507</v>
      </c>
      <c r="AT85" s="34">
        <f ca="1">IF(Reset=1,150,AS85*Rth_typ+$A85)</f>
        <v>84.219553582255614</v>
      </c>
      <c r="AU85" s="172">
        <f t="shared" ca="1" si="74"/>
        <v>884.25385719482688</v>
      </c>
      <c r="AV85" s="172">
        <f t="shared" ca="1" si="75"/>
        <v>368.43910716451126</v>
      </c>
      <c r="AW85" s="173">
        <f t="shared" ca="1" si="76"/>
        <v>3.8270767727268096</v>
      </c>
      <c r="AX85" s="141">
        <f t="shared" ca="1" si="77"/>
        <v>3.8270767727268096</v>
      </c>
    </row>
    <row r="86" spans="1:50" s="43" customFormat="1" ht="12.75" customHeight="1" x14ac:dyDescent="0.25">
      <c r="A86" s="27">
        <f t="shared" si="40"/>
        <v>80</v>
      </c>
      <c r="B86" s="109">
        <f t="shared" si="41"/>
        <v>3.9524999999999992</v>
      </c>
      <c r="C86" s="110">
        <f t="shared" si="42"/>
        <v>1</v>
      </c>
      <c r="D86" s="99">
        <f t="shared" ca="1" si="43"/>
        <v>95.8</v>
      </c>
      <c r="E86" s="155">
        <f t="shared" ca="1" si="44"/>
        <v>85</v>
      </c>
      <c r="F86" s="100">
        <f t="shared" ca="1" si="45"/>
        <v>0</v>
      </c>
      <c r="G86" s="31">
        <f t="shared" si="46"/>
        <v>2.1009503583431666E-2</v>
      </c>
      <c r="H86" s="31">
        <f t="shared" si="47"/>
        <v>2.0829674999999991E-3</v>
      </c>
      <c r="I86" s="31">
        <f ca="1">IF(Reset,1,D86/100*(C86^2+F86^2/12)*O86/1000)</f>
        <v>0.99458392525152439</v>
      </c>
      <c r="J86" s="31">
        <f ca="1">IF(Reset,1,(1-D86/100)*(C86^2+F86^2/12)*O86/1000)</f>
        <v>4.3603888163428035E-2</v>
      </c>
      <c r="K86" s="31">
        <f t="shared" si="48"/>
        <v>4.7999999999999996E-3</v>
      </c>
      <c r="L86" s="31">
        <f t="shared" si="49"/>
        <v>1.2470035834316706E-3</v>
      </c>
      <c r="M86" s="31">
        <f t="shared" ca="1" si="78"/>
        <v>1.0673272880818157</v>
      </c>
      <c r="N86" s="28">
        <f ca="1">IF(Reset=1,150,M86*Rth_typ+$A86)</f>
        <v>116.28912779478173</v>
      </c>
      <c r="O86" s="30">
        <f t="shared" ca="1" si="50"/>
        <v>1038.1878134149524</v>
      </c>
      <c r="P86" s="30">
        <f t="shared" ca="1" si="51"/>
        <v>432.57825558956347</v>
      </c>
      <c r="Q86" s="29">
        <f t="shared" ca="1" si="52"/>
        <v>2.8432983678265629</v>
      </c>
      <c r="R86" s="139">
        <f t="shared" ca="1" si="53"/>
        <v>2.8432983678265629</v>
      </c>
      <c r="S86" s="111">
        <f t="shared" si="54"/>
        <v>0.66666666666666663</v>
      </c>
      <c r="T86" s="102">
        <f t="shared" ca="1" si="55"/>
        <v>95.8</v>
      </c>
      <c r="U86" s="157">
        <f t="shared" ca="1" si="56"/>
        <v>85</v>
      </c>
      <c r="V86" s="163">
        <f t="shared" ca="1" si="57"/>
        <v>0</v>
      </c>
      <c r="W86" s="164">
        <f t="shared" si="58"/>
        <v>2.1009503583431666E-2</v>
      </c>
      <c r="X86" s="164">
        <f t="shared" si="59"/>
        <v>1.3886449999999993E-3</v>
      </c>
      <c r="Y86" s="164">
        <f ca="1">IF(Reset,1,T86/100*(S86^2+V86^2/12)*AE86/1000)</f>
        <v>0.39865301965814626</v>
      </c>
      <c r="Z86" s="164">
        <f ca="1">IF(Reset,1,(1-T86/100)*(S86^2+V86^2/12)*AE86/1000)</f>
        <v>1.7477481028854026E-2</v>
      </c>
      <c r="AA86" s="164">
        <f t="shared" si="60"/>
        <v>3.1999999999999997E-3</v>
      </c>
      <c r="AB86" s="164">
        <f t="shared" si="61"/>
        <v>1.2470035834316706E-3</v>
      </c>
      <c r="AC86" s="164">
        <f t="shared" ca="1" si="79"/>
        <v>0.44297565285386359</v>
      </c>
      <c r="AD86" s="32">
        <f ca="1">IF(Reset=1,150,AC86*Rth_typ+$A86)</f>
        <v>95.061172197031368</v>
      </c>
      <c r="AE86" s="165">
        <f t="shared" ca="1" si="62"/>
        <v>936.29362654575061</v>
      </c>
      <c r="AF86" s="165">
        <f t="shared" ca="1" si="63"/>
        <v>390.12234439406274</v>
      </c>
      <c r="AG86" s="160">
        <f t="shared" ca="1" si="64"/>
        <v>3.2694261362350256</v>
      </c>
      <c r="AH86" s="140">
        <f t="shared" ca="1" si="65"/>
        <v>3.2694261362350256</v>
      </c>
      <c r="AI86" s="113">
        <f t="shared" si="66"/>
        <v>0.33333333333333331</v>
      </c>
      <c r="AJ86" s="107">
        <f t="shared" ca="1" si="67"/>
        <v>95.8</v>
      </c>
      <c r="AK86" s="167">
        <f t="shared" ca="1" si="68"/>
        <v>85</v>
      </c>
      <c r="AL86" s="170">
        <f t="shared" ca="1" si="69"/>
        <v>0</v>
      </c>
      <c r="AM86" s="171">
        <f t="shared" si="70"/>
        <v>2.1009503583431666E-2</v>
      </c>
      <c r="AN86" s="171">
        <f t="shared" si="71"/>
        <v>6.9432249999999967E-4</v>
      </c>
      <c r="AO86" s="171">
        <f ca="1">IF(Reset,1,AJ86/100*(AI86^2+AL86^2/12)*AU86/1000)</f>
        <v>9.4100852593106493E-2</v>
      </c>
      <c r="AP86" s="171">
        <f ca="1">IF(Reset,1,(1-AJ86/100)*(AI86^2+AL86^2/12)*AU86/1000)</f>
        <v>4.1255071074222096E-3</v>
      </c>
      <c r="AQ86" s="171">
        <f t="shared" si="72"/>
        <v>1.5999999999999999E-3</v>
      </c>
      <c r="AR86" s="171">
        <f t="shared" si="73"/>
        <v>1.2470035834316706E-3</v>
      </c>
      <c r="AS86" s="171">
        <f t="shared" ca="1" si="80"/>
        <v>0.12277718936739204</v>
      </c>
      <c r="AT86" s="34">
        <f ca="1">IF(Reset=1,150,AS86*Rth_typ+$A86)</f>
        <v>84.174424438491329</v>
      </c>
      <c r="AU86" s="172">
        <f t="shared" ca="1" si="74"/>
        <v>884.03723730475838</v>
      </c>
      <c r="AV86" s="172">
        <f t="shared" ca="1" si="75"/>
        <v>368.34884887698263</v>
      </c>
      <c r="AW86" s="173">
        <f t="shared" ca="1" si="76"/>
        <v>3.6114973713322924</v>
      </c>
      <c r="AX86" s="141">
        <f t="shared" ca="1" si="77"/>
        <v>3.6114973713322924</v>
      </c>
    </row>
    <row r="87" spans="1:50" s="43" customFormat="1" ht="12.75" customHeight="1" x14ac:dyDescent="0.25">
      <c r="A87" s="27">
        <f t="shared" si="40"/>
        <v>80</v>
      </c>
      <c r="B87" s="109">
        <f t="shared" si="41"/>
        <v>3.7349999999999994</v>
      </c>
      <c r="C87" s="110">
        <f t="shared" si="42"/>
        <v>1</v>
      </c>
      <c r="D87" s="99">
        <f t="shared" ca="1" si="43"/>
        <v>95.8</v>
      </c>
      <c r="E87" s="155">
        <f t="shared" ca="1" si="44"/>
        <v>85</v>
      </c>
      <c r="F87" s="100">
        <f t="shared" ca="1" si="45"/>
        <v>0</v>
      </c>
      <c r="G87" s="31">
        <f t="shared" si="46"/>
        <v>1.9853382892882295E-2</v>
      </c>
      <c r="H87" s="31">
        <f t="shared" si="47"/>
        <v>1.8600299999999995E-3</v>
      </c>
      <c r="I87" s="31">
        <f ca="1">IF(Reset,1,D87/100*(C87^2+F87^2/12)*O87/1000)</f>
        <v>0.99431344458317716</v>
      </c>
      <c r="J87" s="31">
        <f ca="1">IF(Reset,1,(1-D87/100)*(C87^2+F87^2/12)*O87/1000)</f>
        <v>4.3592029929533906E-2</v>
      </c>
      <c r="K87" s="31">
        <f t="shared" si="48"/>
        <v>4.7999999999999996E-3</v>
      </c>
      <c r="L87" s="31">
        <f t="shared" si="49"/>
        <v>1.1783828928822997E-3</v>
      </c>
      <c r="M87" s="31">
        <f t="shared" ca="1" si="78"/>
        <v>1.0655972702984753</v>
      </c>
      <c r="N87" s="28">
        <f ca="1">IF(Reset=1,150,M87*Rth_typ+$A87)</f>
        <v>116.23030719014815</v>
      </c>
      <c r="O87" s="30">
        <f t="shared" ca="1" si="50"/>
        <v>1037.9054745127112</v>
      </c>
      <c r="P87" s="30">
        <f t="shared" ca="1" si="51"/>
        <v>432.46061438029631</v>
      </c>
      <c r="Q87" s="29">
        <f t="shared" ca="1" si="52"/>
        <v>2.6279280567984142</v>
      </c>
      <c r="R87" s="139">
        <f t="shared" ca="1" si="53"/>
        <v>2.6279280567984142</v>
      </c>
      <c r="S87" s="111">
        <f t="shared" si="54"/>
        <v>0.66666666666666663</v>
      </c>
      <c r="T87" s="102">
        <f t="shared" ca="1" si="55"/>
        <v>95.8</v>
      </c>
      <c r="U87" s="157">
        <f t="shared" ca="1" si="56"/>
        <v>85</v>
      </c>
      <c r="V87" s="163">
        <f t="shared" ca="1" si="57"/>
        <v>0</v>
      </c>
      <c r="W87" s="164">
        <f t="shared" si="58"/>
        <v>1.9853382892882295E-2</v>
      </c>
      <c r="X87" s="164">
        <f t="shared" si="59"/>
        <v>1.2400199999999997E-3</v>
      </c>
      <c r="Y87" s="164">
        <f ca="1">IF(Reset,1,T87/100*(S87^2+V87^2/12)*AE87/1000)</f>
        <v>0.39855012537461509</v>
      </c>
      <c r="Z87" s="164">
        <f ca="1">IF(Reset,1,(1-T87/100)*(S87^2+V87^2/12)*AE87/1000)</f>
        <v>1.7472970005985227E-2</v>
      </c>
      <c r="AA87" s="164">
        <f t="shared" si="60"/>
        <v>3.1999999999999997E-3</v>
      </c>
      <c r="AB87" s="164">
        <f t="shared" si="61"/>
        <v>1.1783828928822997E-3</v>
      </c>
      <c r="AC87" s="164">
        <f t="shared" ca="1" si="79"/>
        <v>0.44149488116636493</v>
      </c>
      <c r="AD87" s="32">
        <f ca="1">IF(Reset=1,150,AC87*Rth_typ+$A87)</f>
        <v>95.010825959656415</v>
      </c>
      <c r="AE87" s="165">
        <f t="shared" ca="1" si="62"/>
        <v>936.05196460635079</v>
      </c>
      <c r="AF87" s="165">
        <f t="shared" ca="1" si="63"/>
        <v>390.02165191931283</v>
      </c>
      <c r="AG87" s="160">
        <f t="shared" ca="1" si="64"/>
        <v>3.053935195367659</v>
      </c>
      <c r="AH87" s="140">
        <f t="shared" ca="1" si="65"/>
        <v>3.053935195367659</v>
      </c>
      <c r="AI87" s="113">
        <f t="shared" si="66"/>
        <v>0.33333333333333331</v>
      </c>
      <c r="AJ87" s="107">
        <f t="shared" ca="1" si="67"/>
        <v>95.8</v>
      </c>
      <c r="AK87" s="167">
        <f t="shared" ca="1" si="68"/>
        <v>85</v>
      </c>
      <c r="AL87" s="170">
        <f t="shared" ca="1" si="69"/>
        <v>0</v>
      </c>
      <c r="AM87" s="171">
        <f t="shared" si="70"/>
        <v>1.9853382892882295E-2</v>
      </c>
      <c r="AN87" s="171">
        <f t="shared" si="71"/>
        <v>6.2000999999999983E-4</v>
      </c>
      <c r="AO87" s="171">
        <f ca="1">IF(Reset,1,AJ87/100*(AI87^2+AL87^2/12)*AU87/1000)</f>
        <v>9.4077869006460577E-2</v>
      </c>
      <c r="AP87" s="171">
        <f ca="1">IF(Reset,1,(1-AJ87/100)*(AI87^2+AL87^2/12)*AU87/1000)</f>
        <v>4.1244994762748921E-3</v>
      </c>
      <c r="AQ87" s="171">
        <f t="shared" si="72"/>
        <v>1.5999999999999999E-3</v>
      </c>
      <c r="AR87" s="171">
        <f t="shared" si="73"/>
        <v>1.1783828928822997E-3</v>
      </c>
      <c r="AS87" s="171">
        <f t="shared" ca="1" si="80"/>
        <v>0.12145414426850007</v>
      </c>
      <c r="AT87" s="34">
        <f ca="1">IF(Reset=1,150,AS87*Rth_typ+$A87)</f>
        <v>84.129440905129002</v>
      </c>
      <c r="AU87" s="172">
        <f t="shared" ca="1" si="74"/>
        <v>883.82131634461916</v>
      </c>
      <c r="AV87" s="172">
        <f t="shared" ca="1" si="75"/>
        <v>368.258881810258</v>
      </c>
      <c r="AW87" s="173">
        <f t="shared" ca="1" si="76"/>
        <v>3.395917738116307</v>
      </c>
      <c r="AX87" s="141">
        <f t="shared" ca="1" si="77"/>
        <v>3.395917738116307</v>
      </c>
    </row>
    <row r="88" spans="1:50" s="43" customFormat="1" ht="12.75" customHeight="1" x14ac:dyDescent="0.25">
      <c r="A88" s="27">
        <f t="shared" si="40"/>
        <v>80</v>
      </c>
      <c r="B88" s="109">
        <f t="shared" si="41"/>
        <v>3.5174999999999996</v>
      </c>
      <c r="C88" s="110">
        <f t="shared" si="42"/>
        <v>1</v>
      </c>
      <c r="D88" s="99">
        <f t="shared" ca="1" si="43"/>
        <v>95.8</v>
      </c>
      <c r="E88" s="155">
        <f t="shared" ca="1" si="44"/>
        <v>85</v>
      </c>
      <c r="F88" s="100">
        <f t="shared" ca="1" si="45"/>
        <v>0</v>
      </c>
      <c r="G88" s="31">
        <f t="shared" si="46"/>
        <v>1.8697262202332927E-2</v>
      </c>
      <c r="H88" s="31">
        <f t="shared" si="47"/>
        <v>1.6497074999999996E-3</v>
      </c>
      <c r="I88" s="31">
        <f ca="1">IF(Reset,1,D88/100*(C88^2+F88^2/12)*O88/1000)</f>
        <v>0.99404532086959141</v>
      </c>
      <c r="J88" s="31">
        <f ca="1">IF(Reset,1,(1-D88/100)*(C88^2+F88^2/12)*O88/1000)</f>
        <v>4.3580275027685675E-2</v>
      </c>
      <c r="K88" s="31">
        <f t="shared" si="48"/>
        <v>4.7999999999999996E-3</v>
      </c>
      <c r="L88" s="31">
        <f t="shared" si="49"/>
        <v>1.1097622023329287E-3</v>
      </c>
      <c r="M88" s="31">
        <f t="shared" ca="1" si="78"/>
        <v>1.0638823278019427</v>
      </c>
      <c r="N88" s="28">
        <f ca="1">IF(Reset=1,150,M88*Rth_typ+$A88)</f>
        <v>116.17199914526606</v>
      </c>
      <c r="O88" s="30">
        <f t="shared" ca="1" si="50"/>
        <v>1037.625595897277</v>
      </c>
      <c r="P88" s="30">
        <f t="shared" ca="1" si="51"/>
        <v>432.34399829053211</v>
      </c>
      <c r="Q88" s="29">
        <f t="shared" ca="1" si="52"/>
        <v>2.4125552976823803</v>
      </c>
      <c r="R88" s="139">
        <f t="shared" ca="1" si="53"/>
        <v>2.4125552976823803</v>
      </c>
      <c r="S88" s="111">
        <f t="shared" si="54"/>
        <v>0.66666666666666663</v>
      </c>
      <c r="T88" s="102">
        <f t="shared" ca="1" si="55"/>
        <v>95.8</v>
      </c>
      <c r="U88" s="157">
        <f t="shared" ca="1" si="56"/>
        <v>85</v>
      </c>
      <c r="V88" s="163">
        <f t="shared" ca="1" si="57"/>
        <v>0</v>
      </c>
      <c r="W88" s="164">
        <f t="shared" si="58"/>
        <v>1.8697262202332927E-2</v>
      </c>
      <c r="X88" s="164">
        <f t="shared" si="59"/>
        <v>1.0998049999999997E-3</v>
      </c>
      <c r="Y88" s="164">
        <f ca="1">IF(Reset,1,T88/100*(S88^2+V88^2/12)*AE88/1000)</f>
        <v>0.39844786117853653</v>
      </c>
      <c r="Z88" s="164">
        <f ca="1">IF(Reset,1,(1-T88/100)*(S88^2+V88^2/12)*AE88/1000)</f>
        <v>1.7468486606992222E-2</v>
      </c>
      <c r="AA88" s="164">
        <f t="shared" si="60"/>
        <v>3.1999999999999997E-3</v>
      </c>
      <c r="AB88" s="164">
        <f t="shared" si="61"/>
        <v>1.1097622023329287E-3</v>
      </c>
      <c r="AC88" s="164">
        <f t="shared" ca="1" si="79"/>
        <v>0.44002317719019463</v>
      </c>
      <c r="AD88" s="32">
        <f ca="1">IF(Reset=1,150,AC88*Rth_typ+$A88)</f>
        <v>94.960788024466623</v>
      </c>
      <c r="AE88" s="165">
        <f t="shared" ca="1" si="62"/>
        <v>935.81178251743972</v>
      </c>
      <c r="AF88" s="165">
        <f t="shared" ca="1" si="63"/>
        <v>389.92157604893328</v>
      </c>
      <c r="AG88" s="160">
        <f t="shared" ca="1" si="64"/>
        <v>2.8384432728250282</v>
      </c>
      <c r="AH88" s="140">
        <f t="shared" ca="1" si="65"/>
        <v>2.8384432728250282</v>
      </c>
      <c r="AI88" s="113">
        <f t="shared" si="66"/>
        <v>0.33333333333333331</v>
      </c>
      <c r="AJ88" s="107">
        <f t="shared" ca="1" si="67"/>
        <v>95.8</v>
      </c>
      <c r="AK88" s="167">
        <f t="shared" ca="1" si="68"/>
        <v>85</v>
      </c>
      <c r="AL88" s="170">
        <f t="shared" ca="1" si="69"/>
        <v>0</v>
      </c>
      <c r="AM88" s="171">
        <f t="shared" si="70"/>
        <v>1.8697262202332927E-2</v>
      </c>
      <c r="AN88" s="171">
        <f t="shared" si="71"/>
        <v>5.4990249999999985E-4</v>
      </c>
      <c r="AO88" s="171">
        <f ca="1">IF(Reset,1,AJ88/100*(AI88^2+AL88^2/12)*AU88/1000)</f>
        <v>9.4054959817022679E-2</v>
      </c>
      <c r="AP88" s="171">
        <f ca="1">IF(Reset,1,(1-AJ88/100)*(AI88^2+AL88^2/12)*AU88/1000)</f>
        <v>4.1234951068005801E-3</v>
      </c>
      <c r="AQ88" s="171">
        <f t="shared" si="72"/>
        <v>1.5999999999999999E-3</v>
      </c>
      <c r="AR88" s="171">
        <f t="shared" si="73"/>
        <v>1.1097622023329287E-3</v>
      </c>
      <c r="AS88" s="171">
        <f t="shared" ca="1" si="80"/>
        <v>0.12013538182848912</v>
      </c>
      <c r="AT88" s="34">
        <f ca="1">IF(Reset=1,150,AS88*Rth_typ+$A88)</f>
        <v>84.084602982168633</v>
      </c>
      <c r="AU88" s="172">
        <f t="shared" ca="1" si="74"/>
        <v>883.60609431440935</v>
      </c>
      <c r="AV88" s="172">
        <f t="shared" ca="1" si="75"/>
        <v>368.16920596433727</v>
      </c>
      <c r="AW88" s="173">
        <f t="shared" ca="1" si="76"/>
        <v>3.1803378730788552</v>
      </c>
      <c r="AX88" s="141">
        <f t="shared" ca="1" si="77"/>
        <v>3.1803378730788552</v>
      </c>
    </row>
    <row r="89" spans="1:50" s="43" customFormat="1" ht="12.75" customHeight="1" thickBot="1" x14ac:dyDescent="0.3">
      <c r="A89" s="142">
        <f t="shared" si="40"/>
        <v>80</v>
      </c>
      <c r="B89" s="143">
        <f>Constants!$C$7</f>
        <v>3.3</v>
      </c>
      <c r="C89" s="144">
        <f t="shared" si="42"/>
        <v>1</v>
      </c>
      <c r="D89" s="117">
        <f t="shared" ca="1" si="43"/>
        <v>95.8</v>
      </c>
      <c r="E89" s="156">
        <f t="shared" ca="1" si="44"/>
        <v>85</v>
      </c>
      <c r="F89" s="118">
        <f t="shared" ca="1" si="45"/>
        <v>0</v>
      </c>
      <c r="G89" s="36">
        <f t="shared" si="46"/>
        <v>1.754114151178356E-2</v>
      </c>
      <c r="H89" s="36">
        <f t="shared" si="47"/>
        <v>1.4519999999999997E-3</v>
      </c>
      <c r="I89" s="36">
        <f ca="1">IF(Reset,1,D89/100*(C89^2+F89^2/12)*O89/1000)</f>
        <v>0.99377955411076657</v>
      </c>
      <c r="J89" s="36">
        <f ca="1">IF(Reset,1,(1-D89/100)*(C89^2+F89^2/12)*O89/1000)</f>
        <v>4.3568623457883336E-2</v>
      </c>
      <c r="K89" s="36">
        <f t="shared" si="48"/>
        <v>4.7999999999999996E-3</v>
      </c>
      <c r="L89" s="36">
        <f t="shared" si="49"/>
        <v>1.041141511783558E-3</v>
      </c>
      <c r="M89" s="36">
        <f ca="1">SUM(G89:L89)</f>
        <v>1.062182460592217</v>
      </c>
      <c r="N89" s="35">
        <f ca="1">IF(Reset=1,150,M89*Rth_typ+$A89)</f>
        <v>116.11420366013539</v>
      </c>
      <c r="O89" s="35">
        <f t="shared" ca="1" si="50"/>
        <v>1037.3481775686498</v>
      </c>
      <c r="P89" s="35">
        <f t="shared" ca="1" si="51"/>
        <v>432.22840732027078</v>
      </c>
      <c r="Q89" s="36">
        <f t="shared" ca="1" si="52"/>
        <v>2.1971800904784615</v>
      </c>
      <c r="R89" s="118">
        <f t="shared" ca="1" si="53"/>
        <v>2.1971800904784615</v>
      </c>
      <c r="S89" s="145">
        <f t="shared" si="54"/>
        <v>0.66666666666666663</v>
      </c>
      <c r="T89" s="122">
        <f t="shared" ca="1" si="55"/>
        <v>95.8</v>
      </c>
      <c r="U89" s="158">
        <f t="shared" ca="1" si="56"/>
        <v>85</v>
      </c>
      <c r="V89" s="166">
        <f t="shared" ca="1" si="57"/>
        <v>0</v>
      </c>
      <c r="W89" s="161">
        <f t="shared" si="58"/>
        <v>1.754114151178356E-2</v>
      </c>
      <c r="X89" s="161">
        <f t="shared" si="59"/>
        <v>9.6799999999999979E-4</v>
      </c>
      <c r="Y89" s="161">
        <f ca="1">IF(Reset,1,T89/100*(S89^2+V89^2/12)*AE89/1000)</f>
        <v>0.39834622706991057</v>
      </c>
      <c r="Z89" s="161">
        <f ca="1">IF(Reset,1,(1-T89/100)*(S89^2+V89^2/12)*AE89/1000)</f>
        <v>1.7464030831875012E-2</v>
      </c>
      <c r="AA89" s="161">
        <f t="shared" si="60"/>
        <v>3.1999999999999997E-3</v>
      </c>
      <c r="AB89" s="161">
        <f t="shared" si="61"/>
        <v>1.041141511783558E-3</v>
      </c>
      <c r="AC89" s="161">
        <f t="shared" ca="1" si="79"/>
        <v>0.43856054092535274</v>
      </c>
      <c r="AD89" s="37">
        <f ca="1">IF(Reset=1,150,AC89*Rth_typ+$A89)</f>
        <v>94.911058391461992</v>
      </c>
      <c r="AE89" s="37">
        <f t="shared" ca="1" si="62"/>
        <v>935.57308027901763</v>
      </c>
      <c r="AF89" s="37">
        <f t="shared" ca="1" si="63"/>
        <v>389.82211678292401</v>
      </c>
      <c r="AG89" s="161">
        <f t="shared" ca="1" si="64"/>
        <v>2.6229503686071327</v>
      </c>
      <c r="AH89" s="146">
        <f t="shared" ca="1" si="65"/>
        <v>2.6229503686071327</v>
      </c>
      <c r="AI89" s="147">
        <f t="shared" si="66"/>
        <v>0.33333333333333331</v>
      </c>
      <c r="AJ89" s="148">
        <f t="shared" ca="1" si="67"/>
        <v>95.8</v>
      </c>
      <c r="AK89" s="174">
        <f t="shared" ca="1" si="68"/>
        <v>85</v>
      </c>
      <c r="AL89" s="175">
        <f t="shared" ca="1" si="69"/>
        <v>0</v>
      </c>
      <c r="AM89" s="176">
        <f t="shared" si="70"/>
        <v>1.754114151178356E-2</v>
      </c>
      <c r="AN89" s="176">
        <f t="shared" si="71"/>
        <v>4.8399999999999989E-4</v>
      </c>
      <c r="AO89" s="176">
        <f ca="1">IF(Reset,1,AJ89/100*(AI89^2+AL89^2/12)*AU89/1000)</f>
        <v>9.4032125024792843E-2</v>
      </c>
      <c r="AP89" s="176">
        <f ca="1">IF(Reset,1,(1-AJ89/100)*(AI89^2+AL89^2/12)*AU89/1000)</f>
        <v>4.1224939989992718E-3</v>
      </c>
      <c r="AQ89" s="176">
        <f t="shared" si="72"/>
        <v>1.5999999999999999E-3</v>
      </c>
      <c r="AR89" s="176">
        <f t="shared" si="73"/>
        <v>1.041141511783558E-3</v>
      </c>
      <c r="AS89" s="176">
        <f t="shared" ca="1" si="80"/>
        <v>0.11882090204735923</v>
      </c>
      <c r="AT89" s="38">
        <f ca="1">IF(Reset=1,150,AS89*Rth_typ+$A89)</f>
        <v>84.039910669610208</v>
      </c>
      <c r="AU89" s="38">
        <f t="shared" ca="1" si="74"/>
        <v>883.39157121412904</v>
      </c>
      <c r="AV89" s="38">
        <f t="shared" ca="1" si="75"/>
        <v>368.07982133922042</v>
      </c>
      <c r="AW89" s="176">
        <f t="shared" ca="1" si="76"/>
        <v>2.9647577762199355</v>
      </c>
      <c r="AX89" s="149">
        <f t="shared" ca="1" si="77"/>
        <v>2.9647577762199355</v>
      </c>
    </row>
    <row r="90" spans="1:50" s="43" customFormat="1" x14ac:dyDescent="0.25">
      <c r="A90" s="381"/>
      <c r="B90" s="381"/>
      <c r="C90" s="381"/>
      <c r="D90" s="381"/>
      <c r="E90" s="381"/>
      <c r="F90" s="381"/>
      <c r="G90" s="382"/>
      <c r="H90" s="382"/>
      <c r="I90" s="382"/>
      <c r="J90" s="382"/>
      <c r="K90" s="382"/>
      <c r="L90" s="382"/>
      <c r="M90" s="382"/>
      <c r="N90" s="382"/>
      <c r="O90" s="382"/>
      <c r="P90" s="382"/>
      <c r="Q90" s="382"/>
      <c r="U90" s="381"/>
      <c r="AG90" s="382"/>
      <c r="AK90" s="381"/>
      <c r="AW90" s="382"/>
      <c r="AX90" s="383">
        <f>(Design!C6-Constants!C7)/40</f>
        <v>0.21749999999999997</v>
      </c>
    </row>
    <row r="91" spans="1:50" ht="15.75" thickBot="1" x14ac:dyDescent="0.3"/>
    <row r="92" spans="1:50" x14ac:dyDescent="0.25">
      <c r="B92" s="67"/>
      <c r="C92" s="68"/>
      <c r="D92" s="68"/>
      <c r="E92" s="68"/>
      <c r="F92" s="68"/>
      <c r="H92" s="69">
        <f>Design!B6</f>
        <v>6</v>
      </c>
      <c r="I92" s="70">
        <v>1</v>
      </c>
      <c r="J92" s="382"/>
      <c r="K92" s="382"/>
      <c r="U92" s="68"/>
      <c r="AK92" s="68"/>
    </row>
    <row r="93" spans="1:50" ht="15.75" thickBot="1" x14ac:dyDescent="0.3">
      <c r="B93" s="72"/>
      <c r="C93" s="73"/>
      <c r="D93" s="73"/>
      <c r="E93" s="73"/>
      <c r="F93" s="74"/>
      <c r="H93" s="75">
        <f>Design!B6</f>
        <v>6</v>
      </c>
      <c r="I93" s="76">
        <v>5</v>
      </c>
      <c r="J93" s="382"/>
      <c r="K93" s="382"/>
      <c r="U93" s="73"/>
      <c r="AK93" s="73"/>
    </row>
    <row r="94" spans="1:50" x14ac:dyDescent="0.25">
      <c r="B94" s="202"/>
      <c r="C94" s="202"/>
      <c r="D94" s="154"/>
      <c r="E94" s="154"/>
      <c r="F94" s="15"/>
      <c r="U94" s="154"/>
      <c r="AK94" s="154"/>
    </row>
  </sheetData>
  <sheetProtection algorithmName="SHA-512" hashValue="mEgHaG4LQe49rh/W+kucRwZXZGw9qd+r8yHYTcBvqYVWXlo/anT5PruxvcQNMnPruwYEhYYlPOGffTX6DAa7Ow==" saltValue="TynJiUgwHpQygurIGVzeug==" spinCount="100000" sheet="1" objects="1" scenarios="1" selectLockedCells="1" selectUnlockedCells="1"/>
  <mergeCells count="2">
    <mergeCell ref="B94:C94"/>
    <mergeCell ref="A1:AX1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2"/>
  <sheetViews>
    <sheetView workbookViewId="0">
      <selection activeCell="C3" sqref="C3"/>
    </sheetView>
  </sheetViews>
  <sheetFormatPr defaultRowHeight="15" x14ac:dyDescent="0.25"/>
  <cols>
    <col min="1" max="1" width="20.7109375" style="41" customWidth="1"/>
    <col min="2" max="4" width="12.7109375" style="41" customWidth="1"/>
    <col min="5" max="6" width="15.7109375" style="41" customWidth="1"/>
    <col min="7" max="16384" width="9.140625" style="41"/>
  </cols>
  <sheetData>
    <row r="1" spans="1:11" ht="19.5" thickBot="1" x14ac:dyDescent="0.3">
      <c r="A1" s="310" t="s">
        <v>0</v>
      </c>
      <c r="B1" s="311"/>
      <c r="C1" s="311"/>
      <c r="D1" s="311"/>
      <c r="E1" s="311"/>
      <c r="F1" s="311"/>
      <c r="G1" s="311"/>
      <c r="H1" s="311"/>
      <c r="I1" s="312"/>
    </row>
    <row r="2" spans="1:11" ht="19.5" thickBot="1" x14ac:dyDescent="0.35">
      <c r="A2" s="313" t="s">
        <v>1</v>
      </c>
      <c r="B2" s="314" t="s">
        <v>2</v>
      </c>
      <c r="C2" s="315" t="s">
        <v>3</v>
      </c>
      <c r="D2" s="314" t="s">
        <v>4</v>
      </c>
      <c r="E2" s="314" t="s">
        <v>5</v>
      </c>
      <c r="F2" s="316" t="s">
        <v>6</v>
      </c>
      <c r="G2" s="317"/>
      <c r="H2" s="317"/>
      <c r="I2" s="318"/>
    </row>
    <row r="3" spans="1:11" ht="18.75" thickBot="1" x14ac:dyDescent="0.4">
      <c r="A3" s="319" t="s">
        <v>286</v>
      </c>
      <c r="B3" s="320" t="s">
        <v>13</v>
      </c>
      <c r="C3" s="16">
        <v>147</v>
      </c>
      <c r="D3" s="321" t="s">
        <v>13</v>
      </c>
      <c r="E3" s="322" t="s">
        <v>51</v>
      </c>
      <c r="F3" s="323" t="s">
        <v>287</v>
      </c>
      <c r="G3" s="324"/>
      <c r="H3" s="324"/>
      <c r="I3" s="325"/>
    </row>
    <row r="4" spans="1:11" ht="18.75" thickBot="1" x14ac:dyDescent="0.4">
      <c r="A4" s="319" t="s">
        <v>288</v>
      </c>
      <c r="B4" s="326" t="s">
        <v>13</v>
      </c>
      <c r="C4" s="327">
        <f>1000000000/(LX_Res_Freq*1000000)</f>
        <v>6.8027210884353737</v>
      </c>
      <c r="D4" s="326" t="s">
        <v>13</v>
      </c>
      <c r="E4" s="322" t="s">
        <v>184</v>
      </c>
      <c r="F4" s="328" t="s">
        <v>289</v>
      </c>
      <c r="G4" s="329"/>
      <c r="H4" s="329"/>
      <c r="I4" s="330"/>
    </row>
    <row r="5" spans="1:11" ht="15.75" customHeight="1" thickBot="1" x14ac:dyDescent="0.3">
      <c r="A5" s="331" t="s">
        <v>290</v>
      </c>
      <c r="B5" s="332" t="s">
        <v>13</v>
      </c>
      <c r="C5" s="4">
        <v>0</v>
      </c>
      <c r="D5" s="333" t="s">
        <v>13</v>
      </c>
      <c r="E5" s="334" t="s">
        <v>152</v>
      </c>
      <c r="F5" s="335" t="s">
        <v>291</v>
      </c>
      <c r="G5" s="336"/>
      <c r="H5" s="336"/>
      <c r="I5" s="337"/>
    </row>
    <row r="6" spans="1:11" ht="15.75" thickBot="1" x14ac:dyDescent="0.3">
      <c r="A6" s="319" t="s">
        <v>292</v>
      </c>
      <c r="B6" s="320" t="s">
        <v>13</v>
      </c>
      <c r="C6" s="16">
        <v>100</v>
      </c>
      <c r="D6" s="321" t="s">
        <v>13</v>
      </c>
      <c r="E6" s="338" t="s">
        <v>152</v>
      </c>
      <c r="F6" s="339" t="s">
        <v>293</v>
      </c>
      <c r="G6" s="324"/>
      <c r="H6" s="324"/>
      <c r="I6" s="325"/>
    </row>
    <row r="7" spans="1:11" ht="18.75" thickBot="1" x14ac:dyDescent="0.3">
      <c r="A7" s="340" t="s">
        <v>294</v>
      </c>
      <c r="B7" s="341" t="s">
        <v>13</v>
      </c>
      <c r="C7" s="17">
        <v>2.5</v>
      </c>
      <c r="D7" s="342" t="s">
        <v>13</v>
      </c>
      <c r="E7" s="343" t="s">
        <v>295</v>
      </c>
      <c r="F7" s="344" t="s">
        <v>296</v>
      </c>
      <c r="G7" s="345"/>
      <c r="H7" s="345"/>
      <c r="I7" s="346"/>
    </row>
    <row r="8" spans="1:11" ht="15.75" customHeight="1" thickBot="1" x14ac:dyDescent="0.3">
      <c r="A8" s="347" t="s">
        <v>34</v>
      </c>
      <c r="B8" s="348"/>
      <c r="C8" s="348"/>
      <c r="D8" s="348"/>
      <c r="E8" s="348"/>
      <c r="F8" s="348"/>
      <c r="G8" s="348"/>
      <c r="H8" s="348"/>
      <c r="I8" s="349"/>
    </row>
    <row r="9" spans="1:11" ht="18.75" x14ac:dyDescent="0.25">
      <c r="A9" s="350" t="s">
        <v>35</v>
      </c>
      <c r="B9" s="351" t="s">
        <v>36</v>
      </c>
      <c r="C9" s="351" t="s">
        <v>5</v>
      </c>
      <c r="D9" s="352" t="s">
        <v>6</v>
      </c>
      <c r="E9" s="353"/>
      <c r="F9" s="353"/>
      <c r="G9" s="353"/>
      <c r="H9" s="353"/>
      <c r="I9" s="354"/>
    </row>
    <row r="10" spans="1:11" ht="15.75" customHeight="1" x14ac:dyDescent="0.25">
      <c r="A10" s="355" t="s">
        <v>297</v>
      </c>
      <c r="B10" s="356"/>
      <c r="C10" s="356"/>
      <c r="D10" s="356"/>
      <c r="E10" s="356"/>
      <c r="F10" s="356"/>
      <c r="G10" s="356"/>
      <c r="H10" s="356"/>
      <c r="I10" s="357"/>
    </row>
    <row r="11" spans="1:11" ht="18" customHeight="1" x14ac:dyDescent="0.35">
      <c r="A11" s="358" t="s">
        <v>298</v>
      </c>
      <c r="B11" s="359">
        <f>1000000000*(LX_Res_Period/1000000000)^2/(4*3.14^2*(D1_CAP/1000000000000+LX_CAP/1000000000000))</f>
        <v>11.73399889626439</v>
      </c>
      <c r="C11" s="360" t="s">
        <v>108</v>
      </c>
      <c r="D11" s="361" t="s">
        <v>299</v>
      </c>
      <c r="E11" s="360"/>
      <c r="F11" s="362"/>
      <c r="G11" s="362"/>
      <c r="H11" s="362"/>
      <c r="I11" s="363"/>
    </row>
    <row r="12" spans="1:11" ht="18.75" thickBot="1" x14ac:dyDescent="0.4">
      <c r="A12" s="358" t="s">
        <v>300</v>
      </c>
      <c r="B12" s="364">
        <f>SQRT(LX_Equ_Ind*0.000000001/(D1_CAP*0.000000000001+LX_CAP*0.000000000001))</f>
        <v>10.832358421075437</v>
      </c>
      <c r="C12" s="365" t="s">
        <v>139</v>
      </c>
      <c r="D12" s="361" t="s">
        <v>301</v>
      </c>
      <c r="E12" s="360"/>
      <c r="F12" s="362"/>
      <c r="G12" s="362"/>
      <c r="H12" s="362"/>
      <c r="I12" s="363"/>
    </row>
    <row r="13" spans="1:11" ht="18.75" thickBot="1" x14ac:dyDescent="0.4">
      <c r="A13" s="366" t="s">
        <v>302</v>
      </c>
      <c r="B13" s="150">
        <v>10</v>
      </c>
      <c r="C13" s="367" t="s">
        <v>139</v>
      </c>
      <c r="D13" s="361" t="s">
        <v>303</v>
      </c>
      <c r="E13" s="360"/>
      <c r="F13" s="362"/>
      <c r="G13" s="362"/>
      <c r="H13" s="362"/>
      <c r="I13" s="363"/>
    </row>
    <row r="14" spans="1:11" ht="18.75" thickBot="1" x14ac:dyDescent="0.4">
      <c r="A14" s="358" t="s">
        <v>304</v>
      </c>
      <c r="B14" s="368">
        <f>1000000000000/Snub_Damp_Freq*(LX_Res_Period/1000000000)/RSnub</f>
        <v>272.10884353741494</v>
      </c>
      <c r="C14" s="369" t="s">
        <v>152</v>
      </c>
      <c r="D14" s="361" t="s">
        <v>305</v>
      </c>
      <c r="E14" s="360"/>
      <c r="F14" s="362"/>
      <c r="G14" s="362"/>
      <c r="H14" s="362"/>
      <c r="I14" s="363"/>
    </row>
    <row r="15" spans="1:11" ht="18.75" thickBot="1" x14ac:dyDescent="0.4">
      <c r="A15" s="366" t="s">
        <v>306</v>
      </c>
      <c r="B15" s="151">
        <v>0</v>
      </c>
      <c r="C15" s="370" t="s">
        <v>152</v>
      </c>
      <c r="D15" s="361" t="s">
        <v>307</v>
      </c>
      <c r="E15" s="360"/>
      <c r="F15" s="362"/>
      <c r="G15" s="362"/>
      <c r="H15" s="362"/>
      <c r="I15" s="363"/>
      <c r="K15" s="271"/>
    </row>
    <row r="16" spans="1:11" ht="18.75" thickBot="1" x14ac:dyDescent="0.4">
      <c r="A16" s="371" t="s">
        <v>308</v>
      </c>
      <c r="B16" s="372">
        <f>1000*0.5*Csnub/1000000000000*Vin_max^2*IF(ISBLANK(Fsw_Sel),Fsw_Recom,Fsw_Sel)*1000000</f>
        <v>0</v>
      </c>
      <c r="C16" s="373" t="s">
        <v>309</v>
      </c>
      <c r="D16" s="374" t="s">
        <v>310</v>
      </c>
      <c r="E16" s="375"/>
      <c r="F16" s="375"/>
      <c r="G16" s="375"/>
      <c r="H16" s="375"/>
      <c r="I16" s="376"/>
    </row>
    <row r="32" spans="3:3" x14ac:dyDescent="0.25">
      <c r="C32" s="271" t="s">
        <v>311</v>
      </c>
    </row>
  </sheetData>
  <sheetProtection algorithmName="SHA-512" hashValue="EjMwZ3E81aO3WZtCJ+Sv+tY/ftsdkmxsBIxeJs60J+RaEFxk05zXmtz6+pSGMTg1uELKTMwKM1XNoi4EUkTHJw==" saltValue="nv7IGfICKPTo+k5goskQ2Q==" spinCount="100000" sheet="1" objects="1" scenarios="1" selectLockedCells="1"/>
  <mergeCells count="9">
    <mergeCell ref="A8:I8"/>
    <mergeCell ref="D9:I9"/>
    <mergeCell ref="A10:I10"/>
    <mergeCell ref="A1:I1"/>
    <mergeCell ref="F2:I2"/>
    <mergeCell ref="F3:I3"/>
    <mergeCell ref="F5:I5"/>
    <mergeCell ref="F6:I6"/>
    <mergeCell ref="F7:I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5"/>
  <sheetViews>
    <sheetView zoomScale="85" zoomScaleNormal="85" workbookViewId="0">
      <selection sqref="A1:I1"/>
    </sheetView>
  </sheetViews>
  <sheetFormatPr defaultRowHeight="15" x14ac:dyDescent="0.25"/>
  <cols>
    <col min="1" max="1" width="22.7109375" style="153" customWidth="1"/>
    <col min="2" max="2" width="10" style="153" customWidth="1"/>
    <col min="3" max="3" width="10.42578125" style="153" customWidth="1"/>
    <col min="4" max="5" width="9.140625" style="153"/>
    <col min="6" max="6" width="18.7109375" style="41" customWidth="1"/>
    <col min="7" max="7" width="9.140625" style="41"/>
    <col min="8" max="8" width="12" style="41" customWidth="1"/>
    <col min="9" max="9" width="9.140625" style="41"/>
    <col min="10" max="10" width="14.28515625" style="41" customWidth="1"/>
    <col min="11" max="15" width="9.140625" style="41"/>
    <col min="16" max="18" width="11.42578125" style="40" customWidth="1"/>
    <col min="19" max="20" width="10.85546875" style="40" customWidth="1"/>
    <col min="21" max="16384" width="9.140625" style="41"/>
  </cols>
  <sheetData>
    <row r="1" spans="1:32" ht="24" customHeight="1" thickBot="1" x14ac:dyDescent="0.3">
      <c r="A1" s="203" t="s">
        <v>154</v>
      </c>
      <c r="B1" s="203"/>
      <c r="C1" s="203"/>
      <c r="D1" s="203"/>
      <c r="E1" s="203"/>
      <c r="F1" s="203"/>
      <c r="G1" s="203"/>
      <c r="H1" s="203"/>
      <c r="I1" s="203"/>
      <c r="L1" s="15"/>
      <c r="M1" s="15"/>
      <c r="N1" s="15"/>
      <c r="O1" s="15"/>
      <c r="P1" s="15"/>
      <c r="Q1" s="15"/>
      <c r="R1" s="15"/>
      <c r="S1" s="15"/>
      <c r="T1" s="15"/>
      <c r="V1" s="153"/>
      <c r="W1" s="153"/>
    </row>
    <row r="2" spans="1:32" s="49" customFormat="1" ht="18" customHeight="1" thickBot="1" x14ac:dyDescent="0.35">
      <c r="A2" s="204" t="s">
        <v>155</v>
      </c>
      <c r="B2" s="205" t="s">
        <v>2</v>
      </c>
      <c r="C2" s="205" t="s">
        <v>3</v>
      </c>
      <c r="D2" s="205" t="s">
        <v>4</v>
      </c>
      <c r="E2" s="206" t="s">
        <v>5</v>
      </c>
      <c r="F2" s="207" t="s">
        <v>6</v>
      </c>
      <c r="G2" s="207"/>
      <c r="H2" s="207"/>
      <c r="I2" s="208"/>
      <c r="L2" s="15"/>
      <c r="M2" s="15"/>
      <c r="N2" s="15"/>
      <c r="O2" s="15"/>
      <c r="P2" s="15"/>
      <c r="Q2" s="15"/>
      <c r="R2" s="15"/>
      <c r="S2" s="15"/>
      <c r="T2" s="15"/>
      <c r="V2" s="15"/>
      <c r="W2" s="15"/>
      <c r="X2" s="15"/>
      <c r="Y2" s="15"/>
      <c r="Z2" s="15"/>
      <c r="AA2" s="15"/>
      <c r="AB2" s="15"/>
      <c r="AC2" s="15"/>
      <c r="AD2" s="15"/>
    </row>
    <row r="3" spans="1:32" ht="15.75" thickBot="1" x14ac:dyDescent="0.3">
      <c r="A3" s="209" t="s">
        <v>156</v>
      </c>
      <c r="B3" s="210">
        <v>0.78800000000000003</v>
      </c>
      <c r="C3" s="210">
        <v>0.8</v>
      </c>
      <c r="D3" s="210">
        <v>0.81200000000000006</v>
      </c>
      <c r="E3" s="211" t="s">
        <v>8</v>
      </c>
      <c r="F3" s="212" t="s">
        <v>165</v>
      </c>
      <c r="G3" s="213"/>
      <c r="H3" s="213"/>
      <c r="I3" s="214"/>
      <c r="L3" s="15"/>
      <c r="M3" s="15"/>
      <c r="N3" s="15"/>
      <c r="O3" s="15"/>
      <c r="P3" s="15"/>
      <c r="Q3" s="15"/>
      <c r="R3" s="15"/>
      <c r="S3" s="15"/>
      <c r="T3" s="15"/>
      <c r="V3" s="15"/>
      <c r="W3" s="15"/>
      <c r="X3" s="15"/>
      <c r="Y3" s="15"/>
      <c r="Z3" s="15"/>
      <c r="AA3" s="15"/>
      <c r="AB3" s="15"/>
      <c r="AC3" s="15"/>
      <c r="AD3" s="15"/>
    </row>
    <row r="4" spans="1:32" ht="15.75" thickBot="1" x14ac:dyDescent="0.3">
      <c r="A4" s="209" t="s">
        <v>157</v>
      </c>
      <c r="B4" s="215">
        <f>100*(VFB_min-VFB_typ)/VFB_typ</f>
        <v>-1.5000000000000013</v>
      </c>
      <c r="C4" s="216" t="s">
        <v>13</v>
      </c>
      <c r="D4" s="215">
        <f>100*(VFB_max-VFB_typ)/VFB_typ</f>
        <v>1.5000000000000013</v>
      </c>
      <c r="E4" s="211" t="s">
        <v>20</v>
      </c>
      <c r="F4" s="212" t="s">
        <v>158</v>
      </c>
      <c r="G4" s="213"/>
      <c r="H4" s="213"/>
      <c r="I4" s="214"/>
      <c r="L4" s="15"/>
      <c r="M4" s="15"/>
      <c r="N4" s="15"/>
      <c r="O4" s="15"/>
      <c r="P4" s="15"/>
      <c r="Q4" s="15"/>
      <c r="R4" s="15"/>
      <c r="S4" s="15"/>
      <c r="T4" s="15"/>
      <c r="V4" s="15"/>
      <c r="W4" s="15"/>
      <c r="X4" s="15"/>
      <c r="Y4" s="15"/>
      <c r="Z4" s="15"/>
      <c r="AA4" s="15"/>
      <c r="AB4" s="15"/>
      <c r="AC4" s="15"/>
      <c r="AD4" s="15"/>
    </row>
    <row r="5" spans="1:32" ht="15.75" thickBot="1" x14ac:dyDescent="0.3">
      <c r="A5" s="209" t="s">
        <v>159</v>
      </c>
      <c r="B5" s="217" t="s">
        <v>13</v>
      </c>
      <c r="C5" s="218">
        <v>4</v>
      </c>
      <c r="D5" s="217" t="s">
        <v>13</v>
      </c>
      <c r="E5" s="211" t="s">
        <v>39</v>
      </c>
      <c r="F5" s="212" t="s">
        <v>160</v>
      </c>
      <c r="G5" s="213"/>
      <c r="H5" s="213"/>
      <c r="I5" s="214"/>
      <c r="L5" s="15"/>
      <c r="M5" s="15"/>
      <c r="N5" s="15"/>
      <c r="P5" s="219"/>
      <c r="Q5" s="219"/>
      <c r="R5" s="41"/>
      <c r="S5" s="41"/>
      <c r="T5" s="41"/>
      <c r="V5" s="15"/>
      <c r="W5" s="15"/>
      <c r="X5" s="15"/>
      <c r="Y5" s="15"/>
      <c r="Z5" s="15"/>
      <c r="AA5" s="15"/>
      <c r="AB5" s="15"/>
      <c r="AC5" s="15"/>
      <c r="AD5" s="15"/>
    </row>
    <row r="6" spans="1:32" ht="18.75" thickBot="1" x14ac:dyDescent="0.4">
      <c r="A6" s="209" t="s">
        <v>161</v>
      </c>
      <c r="B6" s="220" t="s">
        <v>13</v>
      </c>
      <c r="C6" s="218">
        <v>10</v>
      </c>
      <c r="D6" s="220" t="s">
        <v>13</v>
      </c>
      <c r="E6" s="211" t="s">
        <v>162</v>
      </c>
      <c r="F6" s="212" t="s">
        <v>163</v>
      </c>
      <c r="G6" s="213"/>
      <c r="H6" s="213"/>
      <c r="I6" s="214"/>
      <c r="L6" s="15"/>
      <c r="M6" s="15"/>
      <c r="N6" s="15"/>
      <c r="P6" s="41"/>
      <c r="Q6" s="41"/>
      <c r="R6" s="41"/>
      <c r="S6" s="41"/>
      <c r="T6" s="41"/>
      <c r="V6" s="15"/>
      <c r="W6" s="15"/>
      <c r="X6" s="15"/>
      <c r="Y6" s="15"/>
      <c r="Z6" s="15"/>
      <c r="AA6" s="15"/>
      <c r="AB6" s="15"/>
      <c r="AC6" s="15"/>
      <c r="AD6" s="15"/>
    </row>
    <row r="7" spans="1:32" ht="15.75" thickBot="1" x14ac:dyDescent="0.3">
      <c r="A7" s="209" t="s">
        <v>164</v>
      </c>
      <c r="B7" s="221">
        <v>3.1</v>
      </c>
      <c r="C7" s="221">
        <v>3.3</v>
      </c>
      <c r="D7" s="222">
        <v>3.5</v>
      </c>
      <c r="E7" s="211" t="s">
        <v>8</v>
      </c>
      <c r="F7" s="212" t="s">
        <v>165</v>
      </c>
      <c r="G7" s="213"/>
      <c r="H7" s="213"/>
      <c r="I7" s="214"/>
      <c r="K7" s="223"/>
      <c r="L7" s="15"/>
      <c r="M7" s="15"/>
      <c r="N7" s="15"/>
      <c r="P7" s="41"/>
      <c r="Q7" s="41"/>
      <c r="R7" s="41"/>
      <c r="S7" s="41"/>
      <c r="T7" s="41"/>
    </row>
    <row r="8" spans="1:32" ht="15.75" thickBot="1" x14ac:dyDescent="0.3">
      <c r="A8" s="209" t="s">
        <v>166</v>
      </c>
      <c r="B8" s="224">
        <v>250</v>
      </c>
      <c r="C8" s="225">
        <v>250</v>
      </c>
      <c r="D8" s="226" t="s">
        <v>13</v>
      </c>
      <c r="E8" s="211" t="s">
        <v>110</v>
      </c>
      <c r="F8" s="212" t="s">
        <v>165</v>
      </c>
      <c r="G8" s="213"/>
      <c r="H8" s="213"/>
      <c r="I8" s="214"/>
      <c r="K8" s="223"/>
      <c r="L8" s="15"/>
      <c r="M8" s="15"/>
      <c r="N8" s="15"/>
      <c r="P8" s="41"/>
      <c r="Q8" s="41"/>
      <c r="R8" s="41"/>
      <c r="S8" s="41"/>
      <c r="T8" s="41"/>
      <c r="AB8" s="227"/>
      <c r="AC8" s="40"/>
      <c r="AD8" s="153"/>
      <c r="AE8" s="153"/>
      <c r="AF8" s="153"/>
    </row>
    <row r="9" spans="1:32" ht="15.75" thickBot="1" x14ac:dyDescent="0.3">
      <c r="A9" s="209" t="s">
        <v>167</v>
      </c>
      <c r="B9" s="217" t="s">
        <v>13</v>
      </c>
      <c r="C9" s="228">
        <v>0.5</v>
      </c>
      <c r="D9" s="217" t="s">
        <v>13</v>
      </c>
      <c r="E9" s="217" t="s">
        <v>13</v>
      </c>
      <c r="F9" s="212" t="s">
        <v>168</v>
      </c>
      <c r="G9" s="213"/>
      <c r="H9" s="213"/>
      <c r="I9" s="214"/>
      <c r="K9" s="223"/>
      <c r="N9" s="15"/>
      <c r="O9" s="219"/>
      <c r="P9" s="219"/>
      <c r="Q9" s="219"/>
      <c r="R9" s="219"/>
      <c r="S9" s="41"/>
      <c r="T9" s="41"/>
      <c r="AB9" s="51"/>
      <c r="AC9" s="40"/>
      <c r="AD9" s="153"/>
      <c r="AE9" s="153"/>
      <c r="AF9" s="153"/>
    </row>
    <row r="10" spans="1:32" ht="15.75" thickBot="1" x14ac:dyDescent="0.3">
      <c r="A10" s="209" t="s">
        <v>169</v>
      </c>
      <c r="B10" s="217" t="s">
        <v>13</v>
      </c>
      <c r="C10" s="229">
        <v>65</v>
      </c>
      <c r="D10" s="217" t="s">
        <v>13</v>
      </c>
      <c r="E10" s="211" t="s">
        <v>170</v>
      </c>
      <c r="F10" s="212" t="s">
        <v>165</v>
      </c>
      <c r="G10" s="213"/>
      <c r="H10" s="213"/>
      <c r="I10" s="214"/>
      <c r="K10" s="223"/>
      <c r="L10" s="230"/>
      <c r="M10" s="230"/>
      <c r="N10" s="15"/>
      <c r="P10" s="41"/>
      <c r="Q10" s="41"/>
      <c r="R10" s="41"/>
      <c r="S10" s="41"/>
      <c r="T10" s="41"/>
      <c r="AB10" s="40"/>
      <c r="AC10" s="153"/>
      <c r="AD10" s="153"/>
      <c r="AE10" s="153"/>
      <c r="AF10" s="153"/>
    </row>
    <row r="11" spans="1:32" ht="15.75" thickBot="1" x14ac:dyDescent="0.3">
      <c r="A11" s="209" t="s">
        <v>171</v>
      </c>
      <c r="B11" s="231">
        <v>550</v>
      </c>
      <c r="C11" s="231">
        <v>750</v>
      </c>
      <c r="D11" s="231">
        <v>950</v>
      </c>
      <c r="E11" s="211" t="s">
        <v>172</v>
      </c>
      <c r="F11" s="212" t="s">
        <v>165</v>
      </c>
      <c r="G11" s="213"/>
      <c r="H11" s="213"/>
      <c r="I11" s="214"/>
      <c r="K11" s="223"/>
      <c r="L11" s="230"/>
      <c r="M11" s="230"/>
      <c r="N11" s="15"/>
      <c r="P11" s="41"/>
      <c r="Q11" s="41"/>
      <c r="R11" s="41"/>
      <c r="S11" s="41"/>
      <c r="T11" s="41"/>
    </row>
    <row r="12" spans="1:32" ht="15.75" thickBot="1" x14ac:dyDescent="0.3">
      <c r="A12" s="209" t="s">
        <v>173</v>
      </c>
      <c r="B12" s="232">
        <f>POWER(10,AVOL/20)/(gmEA_max/1000000)/1000000</f>
        <v>1.8718730631988678</v>
      </c>
      <c r="C12" s="232">
        <f>POWER(10,AVOL/20)/(gmEA_typ/1000000)/1000000</f>
        <v>2.3710392133852327</v>
      </c>
      <c r="D12" s="232">
        <f>POWER(10,$C$10/20)/(B11/1000000)/1000000</f>
        <v>3.2332352909798621</v>
      </c>
      <c r="E12" s="211" t="s">
        <v>174</v>
      </c>
      <c r="F12" s="212" t="s">
        <v>158</v>
      </c>
      <c r="G12" s="213"/>
      <c r="H12" s="213"/>
      <c r="I12" s="214"/>
      <c r="K12" s="223"/>
      <c r="N12" s="15"/>
      <c r="P12" s="41"/>
      <c r="Q12" s="41"/>
      <c r="R12" s="41"/>
      <c r="S12" s="41"/>
      <c r="T12" s="41"/>
    </row>
    <row r="13" spans="1:32" ht="15.75" thickBot="1" x14ac:dyDescent="0.3">
      <c r="A13" s="209" t="s">
        <v>175</v>
      </c>
      <c r="B13" s="217" t="s">
        <v>13</v>
      </c>
      <c r="C13" s="231">
        <v>2</v>
      </c>
      <c r="D13" s="217" t="s">
        <v>13</v>
      </c>
      <c r="E13" s="211" t="s">
        <v>176</v>
      </c>
      <c r="F13" s="212" t="s">
        <v>165</v>
      </c>
      <c r="G13" s="233"/>
      <c r="H13" s="213"/>
      <c r="I13" s="214"/>
      <c r="N13" s="15"/>
      <c r="P13" s="41"/>
      <c r="Q13" s="41"/>
      <c r="R13" s="41"/>
      <c r="S13" s="41"/>
      <c r="T13" s="41"/>
    </row>
    <row r="14" spans="1:32" ht="15.75" thickBot="1" x14ac:dyDescent="0.3">
      <c r="A14" s="234" t="s">
        <v>320</v>
      </c>
      <c r="B14" s="217"/>
      <c r="C14" s="231">
        <v>2</v>
      </c>
      <c r="D14" s="217"/>
      <c r="E14" s="211" t="s">
        <v>176</v>
      </c>
      <c r="F14" s="212" t="s">
        <v>165</v>
      </c>
      <c r="G14" s="233"/>
      <c r="H14" s="213"/>
      <c r="I14" s="214"/>
      <c r="N14" s="15"/>
      <c r="P14" s="41"/>
      <c r="Q14" s="41"/>
      <c r="R14" s="41"/>
      <c r="S14" s="41"/>
      <c r="T14" s="41"/>
    </row>
    <row r="15" spans="1:32" ht="15.75" thickBot="1" x14ac:dyDescent="0.3">
      <c r="A15" s="234" t="s">
        <v>321</v>
      </c>
      <c r="B15" s="220"/>
      <c r="C15" s="235">
        <v>1</v>
      </c>
      <c r="D15" s="220"/>
      <c r="E15" s="211" t="s">
        <v>176</v>
      </c>
      <c r="F15" s="212" t="s">
        <v>165</v>
      </c>
      <c r="G15" s="233"/>
      <c r="H15" s="213"/>
      <c r="I15" s="214"/>
      <c r="N15" s="15"/>
      <c r="P15" s="41"/>
      <c r="Q15" s="41"/>
      <c r="R15" s="41"/>
      <c r="S15" s="41"/>
      <c r="T15" s="41"/>
    </row>
    <row r="16" spans="1:32" ht="15" customHeight="1" thickBot="1" x14ac:dyDescent="0.3">
      <c r="A16" s="236" t="s">
        <v>177</v>
      </c>
      <c r="B16" s="184">
        <f t="shared" ref="B16:D17" si="0">IF(IC="ARG81800-1",B20,B18)</f>
        <v>7.4999999999999997E-2</v>
      </c>
      <c r="C16" s="184">
        <f t="shared" si="0"/>
        <v>0.1</v>
      </c>
      <c r="D16" s="184">
        <f t="shared" si="0"/>
        <v>0.125</v>
      </c>
      <c r="E16" s="237" t="s">
        <v>322</v>
      </c>
      <c r="F16" s="238" t="s">
        <v>179</v>
      </c>
      <c r="G16" s="239">
        <v>0.252</v>
      </c>
      <c r="H16" s="213" t="s">
        <v>51</v>
      </c>
      <c r="I16" s="214"/>
      <c r="J16" s="240"/>
      <c r="K16" s="241"/>
      <c r="L16" s="241"/>
      <c r="M16" s="241"/>
      <c r="P16" s="41"/>
      <c r="Q16" s="41"/>
      <c r="R16" s="41"/>
      <c r="S16" s="41"/>
      <c r="T16" s="41"/>
    </row>
    <row r="17" spans="1:20" ht="15.75" thickBot="1" x14ac:dyDescent="0.3">
      <c r="A17" s="242"/>
      <c r="B17" s="185">
        <f t="shared" si="0"/>
        <v>0.7</v>
      </c>
      <c r="C17" s="185">
        <f t="shared" si="0"/>
        <v>0.9</v>
      </c>
      <c r="D17" s="185">
        <f t="shared" si="0"/>
        <v>1.1000000000000001</v>
      </c>
      <c r="E17" s="243"/>
      <c r="F17" s="238" t="s">
        <v>179</v>
      </c>
      <c r="G17" s="239">
        <v>2.15</v>
      </c>
      <c r="H17" s="213" t="s">
        <v>180</v>
      </c>
      <c r="I17" s="214"/>
      <c r="P17" s="41"/>
      <c r="Q17" s="41"/>
      <c r="R17" s="41"/>
      <c r="S17" s="41"/>
      <c r="T17" s="41"/>
    </row>
    <row r="18" spans="1:20" ht="15.75" thickBot="1" x14ac:dyDescent="0.3">
      <c r="A18" s="244" t="s">
        <v>320</v>
      </c>
      <c r="B18" s="245">
        <v>7.4999999999999997E-2</v>
      </c>
      <c r="C18" s="245">
        <v>0.1</v>
      </c>
      <c r="D18" s="245">
        <v>0.125</v>
      </c>
      <c r="E18" s="237" t="s">
        <v>322</v>
      </c>
      <c r="F18" s="212" t="s">
        <v>179</v>
      </c>
      <c r="G18" s="246"/>
      <c r="H18" s="213"/>
      <c r="I18" s="214"/>
      <c r="P18" s="41"/>
      <c r="Q18" s="41"/>
      <c r="R18" s="41"/>
      <c r="S18" s="41"/>
      <c r="T18" s="41"/>
    </row>
    <row r="19" spans="1:20" ht="15.75" thickBot="1" x14ac:dyDescent="0.3">
      <c r="A19" s="247"/>
      <c r="B19" s="248">
        <v>0.7</v>
      </c>
      <c r="C19" s="245">
        <v>0.9</v>
      </c>
      <c r="D19" s="248">
        <v>1.1000000000000001</v>
      </c>
      <c r="E19" s="243"/>
      <c r="F19" s="212" t="s">
        <v>179</v>
      </c>
      <c r="G19" s="246"/>
      <c r="H19" s="213"/>
      <c r="I19" s="214"/>
      <c r="P19" s="41"/>
      <c r="Q19" s="41"/>
      <c r="R19" s="41"/>
      <c r="S19" s="41"/>
      <c r="T19" s="41"/>
    </row>
    <row r="20" spans="1:20" ht="15.75" thickBot="1" x14ac:dyDescent="0.3">
      <c r="A20" s="244" t="s">
        <v>321</v>
      </c>
      <c r="B20" s="245">
        <v>3.5000000000000003E-2</v>
      </c>
      <c r="C20" s="245">
        <v>0.05</v>
      </c>
      <c r="D20" s="245">
        <v>6.5000000000000002E-2</v>
      </c>
      <c r="E20" s="237" t="s">
        <v>322</v>
      </c>
      <c r="F20" s="212" t="s">
        <v>179</v>
      </c>
      <c r="G20" s="246"/>
      <c r="H20" s="213"/>
      <c r="I20" s="214"/>
      <c r="P20" s="41"/>
      <c r="Q20" s="41"/>
      <c r="R20" s="41"/>
      <c r="S20" s="41"/>
      <c r="T20" s="41"/>
    </row>
    <row r="21" spans="1:20" ht="15.75" thickBot="1" x14ac:dyDescent="0.3">
      <c r="A21" s="247"/>
      <c r="B21" s="248">
        <v>0.32500000000000001</v>
      </c>
      <c r="C21" s="245">
        <v>0.45</v>
      </c>
      <c r="D21" s="248">
        <v>0.55000000000000004</v>
      </c>
      <c r="E21" s="243"/>
      <c r="F21" s="212" t="s">
        <v>179</v>
      </c>
      <c r="G21" s="246"/>
      <c r="H21" s="213"/>
      <c r="I21" s="214"/>
      <c r="P21" s="41"/>
      <c r="Q21" s="41"/>
      <c r="R21" s="41"/>
      <c r="S21" s="41"/>
      <c r="T21" s="41"/>
    </row>
    <row r="22" spans="1:20" ht="15.75" thickBot="1" x14ac:dyDescent="0.3">
      <c r="A22" s="209" t="s">
        <v>181</v>
      </c>
      <c r="B22" s="249">
        <v>0.25</v>
      </c>
      <c r="C22" s="226" t="s">
        <v>13</v>
      </c>
      <c r="D22" s="249">
        <v>2.15</v>
      </c>
      <c r="E22" s="211" t="s">
        <v>51</v>
      </c>
      <c r="F22" s="212" t="s">
        <v>179</v>
      </c>
      <c r="G22" s="246"/>
      <c r="H22" s="213"/>
      <c r="I22" s="214"/>
    </row>
    <row r="23" spans="1:20" ht="15.75" thickBot="1" x14ac:dyDescent="0.3">
      <c r="A23" s="209" t="s">
        <v>182</v>
      </c>
      <c r="B23" s="218">
        <v>-10</v>
      </c>
      <c r="C23" s="220" t="s">
        <v>13</v>
      </c>
      <c r="D23" s="250">
        <v>10</v>
      </c>
      <c r="E23" s="211" t="s">
        <v>20</v>
      </c>
      <c r="F23" s="212" t="s">
        <v>179</v>
      </c>
      <c r="G23" s="213"/>
      <c r="H23" s="213"/>
      <c r="I23" s="214"/>
    </row>
    <row r="24" spans="1:20" ht="18.75" thickBot="1" x14ac:dyDescent="0.4">
      <c r="A24" s="209" t="s">
        <v>183</v>
      </c>
      <c r="B24" s="226" t="s">
        <v>13</v>
      </c>
      <c r="C24" s="218">
        <v>60</v>
      </c>
      <c r="D24" s="251">
        <v>85</v>
      </c>
      <c r="E24" s="211" t="s">
        <v>184</v>
      </c>
      <c r="F24" s="212" t="s">
        <v>185</v>
      </c>
      <c r="G24" s="213"/>
      <c r="H24" s="213"/>
      <c r="I24" s="214"/>
    </row>
    <row r="25" spans="1:20" ht="18.75" thickBot="1" x14ac:dyDescent="0.4">
      <c r="A25" s="209" t="s">
        <v>186</v>
      </c>
      <c r="B25" s="217" t="s">
        <v>13</v>
      </c>
      <c r="C25" s="218">
        <v>85</v>
      </c>
      <c r="D25" s="251">
        <v>110</v>
      </c>
      <c r="E25" s="211" t="s">
        <v>184</v>
      </c>
      <c r="F25" s="212" t="s">
        <v>187</v>
      </c>
      <c r="G25" s="213"/>
      <c r="H25" s="213"/>
      <c r="I25" s="214"/>
    </row>
    <row r="26" spans="1:20" ht="15.75" thickBot="1" x14ac:dyDescent="0.3">
      <c r="A26" s="209" t="s">
        <v>188</v>
      </c>
      <c r="B26" s="217" t="s">
        <v>13</v>
      </c>
      <c r="C26" s="252">
        <v>10</v>
      </c>
      <c r="D26" s="226">
        <v>20</v>
      </c>
      <c r="E26" s="211" t="s">
        <v>184</v>
      </c>
      <c r="F26" s="212" t="s">
        <v>189</v>
      </c>
      <c r="G26" s="213"/>
      <c r="H26" s="213"/>
      <c r="I26" s="214"/>
    </row>
    <row r="27" spans="1:20" ht="15.75" thickBot="1" x14ac:dyDescent="0.3">
      <c r="A27" s="209" t="s">
        <v>190</v>
      </c>
      <c r="B27" s="217" t="s">
        <v>13</v>
      </c>
      <c r="C27" s="228">
        <v>5</v>
      </c>
      <c r="D27" s="217" t="s">
        <v>13</v>
      </c>
      <c r="E27" s="211" t="s">
        <v>191</v>
      </c>
      <c r="F27" s="212" t="s">
        <v>165</v>
      </c>
      <c r="G27" s="213"/>
      <c r="H27" s="213"/>
      <c r="I27" s="253"/>
    </row>
    <row r="28" spans="1:20" ht="18" customHeight="1" thickBot="1" x14ac:dyDescent="0.3">
      <c r="A28" s="254" t="s">
        <v>192</v>
      </c>
      <c r="B28" s="255" t="s">
        <v>13</v>
      </c>
      <c r="C28" s="256">
        <v>500</v>
      </c>
      <c r="D28" s="257">
        <v>600</v>
      </c>
      <c r="E28" s="258" t="s">
        <v>193</v>
      </c>
      <c r="F28" s="238" t="s">
        <v>194</v>
      </c>
      <c r="G28" s="259"/>
      <c r="H28" s="259"/>
      <c r="I28" s="260">
        <v>500</v>
      </c>
      <c r="J28" s="261"/>
    </row>
    <row r="29" spans="1:20" ht="18" customHeight="1" thickBot="1" x14ac:dyDescent="0.3">
      <c r="A29" s="254" t="s">
        <v>195</v>
      </c>
      <c r="B29" s="255" t="s">
        <v>13</v>
      </c>
      <c r="C29" s="256">
        <v>210</v>
      </c>
      <c r="D29" s="257">
        <v>250</v>
      </c>
      <c r="E29" s="258" t="s">
        <v>193</v>
      </c>
      <c r="F29" s="238" t="s">
        <v>194</v>
      </c>
      <c r="G29" s="259"/>
      <c r="H29" s="259"/>
      <c r="I29" s="260">
        <v>210</v>
      </c>
      <c r="J29" s="261"/>
    </row>
    <row r="30" spans="1:20" ht="18.75" thickBot="1" x14ac:dyDescent="0.4">
      <c r="A30" s="209" t="s">
        <v>196</v>
      </c>
      <c r="B30" s="217" t="s">
        <v>13</v>
      </c>
      <c r="C30" s="221">
        <v>0.8</v>
      </c>
      <c r="D30" s="217" t="s">
        <v>13</v>
      </c>
      <c r="E30" s="211" t="s">
        <v>197</v>
      </c>
      <c r="F30" s="212" t="s">
        <v>194</v>
      </c>
      <c r="G30" s="213"/>
      <c r="H30" s="213"/>
      <c r="I30" s="262"/>
    </row>
    <row r="31" spans="1:20" ht="18" x14ac:dyDescent="0.35">
      <c r="A31" s="209" t="s">
        <v>198</v>
      </c>
      <c r="B31" s="217" t="s">
        <v>13</v>
      </c>
      <c r="C31" s="263">
        <v>0.6</v>
      </c>
      <c r="D31" s="220" t="s">
        <v>13</v>
      </c>
      <c r="E31" s="211" t="s">
        <v>8</v>
      </c>
      <c r="F31" s="212" t="s">
        <v>194</v>
      </c>
      <c r="G31" s="213"/>
      <c r="H31" s="213"/>
      <c r="I31" s="214"/>
    </row>
    <row r="32" spans="1:20" x14ac:dyDescent="0.25">
      <c r="A32" s="209" t="s">
        <v>199</v>
      </c>
      <c r="B32" s="217" t="s">
        <v>13</v>
      </c>
      <c r="C32" s="217" t="s">
        <v>13</v>
      </c>
      <c r="D32" s="257">
        <f>1/(0.0072*RdsHS_max-0.0047)</f>
        <v>0.2317335990545269</v>
      </c>
      <c r="E32" s="211" t="s">
        <v>200</v>
      </c>
      <c r="F32" s="212" t="s">
        <v>194</v>
      </c>
      <c r="G32" s="213"/>
      <c r="H32" s="213"/>
      <c r="I32" s="214"/>
      <c r="J32" s="186"/>
    </row>
    <row r="33" spans="1:20" ht="15.75" thickBot="1" x14ac:dyDescent="0.3">
      <c r="A33" s="209" t="s">
        <v>201</v>
      </c>
      <c r="B33" s="217" t="s">
        <v>13</v>
      </c>
      <c r="C33" s="220" t="s">
        <v>13</v>
      </c>
      <c r="D33" s="257">
        <f>1/(0.0072*RdsLS_max-0.0047)</f>
        <v>0.55700997047847156</v>
      </c>
      <c r="E33" s="211" t="s">
        <v>200</v>
      </c>
      <c r="F33" s="212" t="s">
        <v>194</v>
      </c>
      <c r="G33" s="213"/>
      <c r="H33" s="213"/>
      <c r="I33" s="214"/>
      <c r="J33" s="186"/>
    </row>
    <row r="34" spans="1:20" ht="15.75" thickBot="1" x14ac:dyDescent="0.3">
      <c r="A34" s="209" t="s">
        <v>202</v>
      </c>
      <c r="B34" s="217"/>
      <c r="C34" s="264" t="s">
        <v>210</v>
      </c>
      <c r="D34" s="265"/>
      <c r="E34" s="211"/>
      <c r="F34" s="212"/>
      <c r="G34" s="213"/>
      <c r="H34" s="213"/>
      <c r="I34" s="214"/>
      <c r="J34" s="186" t="s">
        <v>204</v>
      </c>
    </row>
    <row r="35" spans="1:20" ht="15.75" thickBot="1" x14ac:dyDescent="0.3">
      <c r="A35" s="209" t="s">
        <v>205</v>
      </c>
      <c r="B35" s="217" t="s">
        <v>13</v>
      </c>
      <c r="C35" s="266">
        <v>3</v>
      </c>
      <c r="D35" s="226" t="s">
        <v>13</v>
      </c>
      <c r="E35" s="211" t="s">
        <v>206</v>
      </c>
      <c r="F35" s="212" t="s">
        <v>207</v>
      </c>
      <c r="G35" s="213"/>
      <c r="H35" s="213"/>
      <c r="I35" s="214"/>
      <c r="J35" s="186" t="s">
        <v>208</v>
      </c>
    </row>
    <row r="36" spans="1:20" ht="15.75" thickBot="1" x14ac:dyDescent="0.3">
      <c r="A36" s="209" t="s">
        <v>209</v>
      </c>
      <c r="B36" s="217" t="s">
        <v>13</v>
      </c>
      <c r="C36" s="266">
        <v>3</v>
      </c>
      <c r="D36" s="217" t="s">
        <v>13</v>
      </c>
      <c r="E36" s="211" t="s">
        <v>206</v>
      </c>
      <c r="F36" s="212" t="s">
        <v>207</v>
      </c>
      <c r="G36" s="213"/>
      <c r="H36" s="213"/>
      <c r="I36" s="214"/>
      <c r="J36" s="186" t="s">
        <v>210</v>
      </c>
    </row>
    <row r="37" spans="1:20" ht="15.75" thickBot="1" x14ac:dyDescent="0.3">
      <c r="A37" s="209" t="s">
        <v>211</v>
      </c>
      <c r="B37" s="217" t="s">
        <v>13</v>
      </c>
      <c r="C37" s="267">
        <v>20</v>
      </c>
      <c r="D37" s="217" t="s">
        <v>13</v>
      </c>
      <c r="E37" s="211" t="s">
        <v>212</v>
      </c>
      <c r="F37" s="212" t="s">
        <v>165</v>
      </c>
      <c r="G37" s="213"/>
      <c r="H37" s="213"/>
      <c r="I37" s="214"/>
      <c r="J37" s="186" t="s">
        <v>203</v>
      </c>
    </row>
    <row r="38" spans="1:20" ht="15.75" thickBot="1" x14ac:dyDescent="0.3">
      <c r="A38" s="209" t="s">
        <v>213</v>
      </c>
      <c r="B38" s="220"/>
      <c r="C38" s="264" t="s">
        <v>204</v>
      </c>
      <c r="D38" s="220"/>
      <c r="E38" s="211"/>
      <c r="F38" s="212"/>
      <c r="G38" s="213"/>
      <c r="H38" s="213"/>
      <c r="I38" s="253"/>
      <c r="J38" s="186"/>
    </row>
    <row r="39" spans="1:20" ht="18.75" thickBot="1" x14ac:dyDescent="0.4">
      <c r="A39" s="209" t="s">
        <v>312</v>
      </c>
      <c r="B39" s="184">
        <f t="shared" ref="B39:D40" si="1">IF(IC="ARG81800-1",B43,B41)</f>
        <v>1.7</v>
      </c>
      <c r="C39" s="184">
        <f t="shared" si="1"/>
        <v>2</v>
      </c>
      <c r="D39" s="184">
        <f t="shared" si="1"/>
        <v>2.2999999999999998</v>
      </c>
      <c r="E39" s="211" t="s">
        <v>84</v>
      </c>
      <c r="F39" s="212" t="s">
        <v>214</v>
      </c>
      <c r="G39" s="213"/>
      <c r="H39" s="213"/>
      <c r="I39" s="268">
        <v>5</v>
      </c>
      <c r="J39" s="186"/>
    </row>
    <row r="40" spans="1:20" ht="18.75" thickBot="1" x14ac:dyDescent="0.4">
      <c r="A40" s="209" t="s">
        <v>313</v>
      </c>
      <c r="B40" s="184">
        <f t="shared" si="1"/>
        <v>1.345</v>
      </c>
      <c r="C40" s="184">
        <f t="shared" si="1"/>
        <v>1.645</v>
      </c>
      <c r="D40" s="184">
        <f t="shared" si="1"/>
        <v>1.9450000000000001</v>
      </c>
      <c r="E40" s="211" t="s">
        <v>84</v>
      </c>
      <c r="F40" s="212" t="s">
        <v>215</v>
      </c>
      <c r="G40" s="213"/>
      <c r="H40" s="213"/>
      <c r="I40" s="268">
        <v>90</v>
      </c>
    </row>
    <row r="41" spans="1:20" ht="18.75" thickBot="1" x14ac:dyDescent="0.4">
      <c r="A41" s="244" t="s">
        <v>320</v>
      </c>
      <c r="B41" s="231">
        <v>1.7</v>
      </c>
      <c r="C41" s="218">
        <v>2</v>
      </c>
      <c r="D41" s="218">
        <v>2.2999999999999998</v>
      </c>
      <c r="E41" s="211" t="s">
        <v>84</v>
      </c>
      <c r="F41" s="212" t="s">
        <v>214</v>
      </c>
      <c r="G41" s="213"/>
      <c r="H41" s="213"/>
      <c r="I41" s="253"/>
    </row>
    <row r="42" spans="1:20" ht="18.75" thickBot="1" x14ac:dyDescent="0.4">
      <c r="A42" s="247"/>
      <c r="B42" s="231">
        <v>1.345</v>
      </c>
      <c r="C42" s="218">
        <v>1.645</v>
      </c>
      <c r="D42" s="218">
        <v>1.9450000000000001</v>
      </c>
      <c r="E42" s="211" t="s">
        <v>84</v>
      </c>
      <c r="F42" s="212" t="s">
        <v>215</v>
      </c>
      <c r="G42" s="213"/>
      <c r="H42" s="213"/>
      <c r="I42" s="253"/>
    </row>
    <row r="43" spans="1:20" ht="18.75" thickBot="1" x14ac:dyDescent="0.4">
      <c r="A43" s="244" t="s">
        <v>321</v>
      </c>
      <c r="B43" s="231">
        <v>0.85</v>
      </c>
      <c r="C43" s="218">
        <v>1</v>
      </c>
      <c r="D43" s="218">
        <v>1.1499999999999999</v>
      </c>
      <c r="E43" s="211" t="s">
        <v>84</v>
      </c>
      <c r="F43" s="212" t="s">
        <v>214</v>
      </c>
      <c r="G43" s="213"/>
      <c r="H43" s="213"/>
      <c r="I43" s="253"/>
    </row>
    <row r="44" spans="1:20" ht="18.75" thickBot="1" x14ac:dyDescent="0.4">
      <c r="A44" s="247"/>
      <c r="B44" s="245">
        <v>0.67300000000000004</v>
      </c>
      <c r="C44" s="249">
        <v>0.82299999999999995</v>
      </c>
      <c r="D44" s="249">
        <v>0.92300000000000004</v>
      </c>
      <c r="E44" s="211" t="s">
        <v>84</v>
      </c>
      <c r="F44" s="212" t="s">
        <v>215</v>
      </c>
      <c r="G44" s="213"/>
      <c r="H44" s="213"/>
      <c r="I44" s="253"/>
    </row>
    <row r="45" spans="1:20" x14ac:dyDescent="0.25">
      <c r="A45" s="269" t="s">
        <v>216</v>
      </c>
      <c r="B45" s="180" t="s">
        <v>13</v>
      </c>
      <c r="C45" s="181">
        <f>(B39-B40)/(I39-I40)</f>
        <v>-4.1764705882352936E-3</v>
      </c>
      <c r="D45" s="180" t="s">
        <v>13</v>
      </c>
      <c r="E45" s="211" t="s">
        <v>217</v>
      </c>
      <c r="F45" s="212" t="s">
        <v>323</v>
      </c>
      <c r="G45" s="213"/>
      <c r="H45" s="213"/>
      <c r="I45" s="253"/>
    </row>
    <row r="46" spans="1:20" x14ac:dyDescent="0.25">
      <c r="A46" s="269" t="s">
        <v>218</v>
      </c>
      <c r="B46" s="182" t="s">
        <v>13</v>
      </c>
      <c r="C46" s="183">
        <f>ILIM5_min-ILIMcurve_slope*I39</f>
        <v>1.7208823529411765</v>
      </c>
      <c r="D46" s="182" t="s">
        <v>13</v>
      </c>
      <c r="E46" s="211" t="s">
        <v>84</v>
      </c>
      <c r="F46" s="212" t="s">
        <v>323</v>
      </c>
      <c r="G46" s="213"/>
      <c r="H46" s="213"/>
      <c r="I46" s="253"/>
    </row>
    <row r="47" spans="1:20" x14ac:dyDescent="0.25">
      <c r="A47" s="269" t="s">
        <v>219</v>
      </c>
      <c r="B47" s="217" t="s">
        <v>13</v>
      </c>
      <c r="C47" s="270">
        <v>0.39300000000000002</v>
      </c>
      <c r="D47" s="217" t="s">
        <v>13</v>
      </c>
      <c r="E47" s="211" t="s">
        <v>220</v>
      </c>
      <c r="F47" s="212" t="s">
        <v>221</v>
      </c>
      <c r="G47" s="213"/>
      <c r="H47" s="213"/>
      <c r="I47" s="214"/>
    </row>
    <row r="48" spans="1:20" s="271" customFormat="1" ht="18" customHeight="1" thickBot="1" x14ac:dyDescent="0.3">
      <c r="A48" s="153"/>
      <c r="B48" s="153"/>
      <c r="C48" s="153"/>
      <c r="D48" s="153"/>
      <c r="E48" s="153"/>
      <c r="F48" s="41"/>
      <c r="G48" s="41"/>
      <c r="H48" s="41"/>
      <c r="I48" s="41"/>
      <c r="P48" s="227"/>
      <c r="Q48" s="227"/>
      <c r="R48" s="227"/>
      <c r="S48" s="227"/>
      <c r="T48" s="227"/>
    </row>
    <row r="49" spans="1:9" ht="18.75" x14ac:dyDescent="0.25">
      <c r="A49" s="272" t="s">
        <v>230</v>
      </c>
      <c r="B49" s="273"/>
      <c r="C49" s="273"/>
      <c r="D49" s="273"/>
      <c r="E49" s="273"/>
      <c r="F49" s="274"/>
      <c r="G49" s="275"/>
      <c r="H49" s="271"/>
      <c r="I49" s="271"/>
    </row>
    <row r="50" spans="1:9" x14ac:dyDescent="0.25">
      <c r="A50" s="209" t="s">
        <v>231</v>
      </c>
      <c r="B50" s="211">
        <v>3.3</v>
      </c>
      <c r="C50" s="211" t="s">
        <v>8</v>
      </c>
      <c r="D50" s="276" t="s">
        <v>232</v>
      </c>
      <c r="E50" s="211"/>
      <c r="F50" s="213"/>
      <c r="G50" s="214"/>
    </row>
    <row r="51" spans="1:9" ht="18" x14ac:dyDescent="0.35">
      <c r="A51" s="209" t="s">
        <v>233</v>
      </c>
      <c r="B51" s="211">
        <v>3</v>
      </c>
      <c r="C51" s="211" t="s">
        <v>84</v>
      </c>
      <c r="D51" s="276" t="s">
        <v>234</v>
      </c>
      <c r="E51" s="211"/>
      <c r="F51" s="213"/>
      <c r="G51" s="214"/>
    </row>
    <row r="52" spans="1:9" x14ac:dyDescent="0.25">
      <c r="A52" s="209" t="s">
        <v>235</v>
      </c>
      <c r="B52" s="211">
        <v>1.1000000000000001</v>
      </c>
      <c r="C52" s="211" t="s">
        <v>84</v>
      </c>
      <c r="D52" s="276" t="s">
        <v>236</v>
      </c>
      <c r="E52" s="211"/>
      <c r="F52" s="213"/>
      <c r="G52" s="214"/>
    </row>
    <row r="53" spans="1:9" ht="18" x14ac:dyDescent="0.35">
      <c r="A53" s="209" t="s">
        <v>237</v>
      </c>
      <c r="B53" s="232">
        <f>100*Trans_stepCurrent/Trans_maxCurrent</f>
        <v>36.666666666666671</v>
      </c>
      <c r="C53" s="211" t="s">
        <v>20</v>
      </c>
      <c r="D53" s="276" t="s">
        <v>238</v>
      </c>
      <c r="E53" s="211"/>
      <c r="F53" s="213"/>
      <c r="G53" s="214"/>
    </row>
    <row r="54" spans="1:9" x14ac:dyDescent="0.25">
      <c r="A54" s="209" t="s">
        <v>239</v>
      </c>
      <c r="B54" s="211">
        <v>1</v>
      </c>
      <c r="C54" s="217" t="s">
        <v>13</v>
      </c>
      <c r="D54" s="276" t="s">
        <v>240</v>
      </c>
      <c r="E54" s="211"/>
      <c r="F54" s="213"/>
      <c r="G54" s="214"/>
    </row>
    <row r="55" spans="1:9" ht="18" x14ac:dyDescent="0.35">
      <c r="A55" s="209" t="s">
        <v>241</v>
      </c>
      <c r="B55" s="211">
        <v>2</v>
      </c>
      <c r="C55" s="211" t="s">
        <v>51</v>
      </c>
      <c r="D55" s="276" t="s">
        <v>242</v>
      </c>
      <c r="E55" s="211"/>
      <c r="F55" s="213"/>
      <c r="G55" s="214"/>
    </row>
    <row r="56" spans="1:9" x14ac:dyDescent="0.25">
      <c r="A56" s="209" t="s">
        <v>243</v>
      </c>
      <c r="B56" s="211">
        <v>128</v>
      </c>
      <c r="C56" s="211" t="s">
        <v>110</v>
      </c>
      <c r="D56" s="276" t="s">
        <v>244</v>
      </c>
      <c r="E56" s="211"/>
      <c r="F56" s="213"/>
      <c r="G56" s="214"/>
    </row>
    <row r="57" spans="1:9" x14ac:dyDescent="0.25">
      <c r="A57" s="209" t="s">
        <v>245</v>
      </c>
      <c r="B57" s="211">
        <v>10</v>
      </c>
      <c r="C57" s="211" t="s">
        <v>20</v>
      </c>
      <c r="D57" s="276" t="s">
        <v>246</v>
      </c>
      <c r="E57" s="211"/>
      <c r="F57" s="213"/>
      <c r="G57" s="214"/>
    </row>
    <row r="58" spans="1:9" x14ac:dyDescent="0.25">
      <c r="A58" s="209" t="s">
        <v>247</v>
      </c>
      <c r="B58" s="232">
        <v>6</v>
      </c>
      <c r="C58" s="211" t="s">
        <v>162</v>
      </c>
      <c r="D58" s="276" t="s">
        <v>248</v>
      </c>
      <c r="E58" s="211"/>
      <c r="F58" s="213"/>
      <c r="G58" s="214"/>
    </row>
    <row r="59" spans="1:9" x14ac:dyDescent="0.25">
      <c r="A59" s="209" t="s">
        <v>249</v>
      </c>
      <c r="B59" s="211">
        <v>1.8</v>
      </c>
      <c r="C59" s="211" t="s">
        <v>108</v>
      </c>
      <c r="D59" s="276" t="s">
        <v>248</v>
      </c>
      <c r="E59" s="211"/>
      <c r="F59" s="213"/>
      <c r="G59" s="214"/>
    </row>
    <row r="60" spans="1:9" x14ac:dyDescent="0.25">
      <c r="A60" s="209" t="s">
        <v>250</v>
      </c>
      <c r="B60" s="232">
        <v>0.8</v>
      </c>
      <c r="C60" s="277">
        <v>9.9600000000000009</v>
      </c>
      <c r="D60" s="217" t="s">
        <v>251</v>
      </c>
      <c r="E60" s="276" t="s">
        <v>252</v>
      </c>
      <c r="F60" s="213"/>
      <c r="G60" s="214"/>
    </row>
    <row r="61" spans="1:9" x14ac:dyDescent="0.25">
      <c r="A61" s="209" t="s">
        <v>250</v>
      </c>
      <c r="B61" s="232">
        <v>2</v>
      </c>
      <c r="C61" s="277">
        <v>9.8000000000000007</v>
      </c>
      <c r="D61" s="217" t="s">
        <v>251</v>
      </c>
      <c r="E61" s="276" t="s">
        <v>252</v>
      </c>
      <c r="F61" s="213"/>
      <c r="G61" s="214"/>
    </row>
    <row r="62" spans="1:9" x14ac:dyDescent="0.25">
      <c r="A62" s="209" t="s">
        <v>250</v>
      </c>
      <c r="B62" s="232">
        <v>3.3</v>
      </c>
      <c r="C62" s="277">
        <v>9.5</v>
      </c>
      <c r="D62" s="217" t="s">
        <v>251</v>
      </c>
      <c r="E62" s="276" t="s">
        <v>252</v>
      </c>
      <c r="F62" s="213"/>
      <c r="G62" s="214"/>
    </row>
    <row r="63" spans="1:9" x14ac:dyDescent="0.25">
      <c r="A63" s="209" t="s">
        <v>250</v>
      </c>
      <c r="B63" s="232">
        <v>5</v>
      </c>
      <c r="C63" s="277">
        <v>8.85</v>
      </c>
      <c r="D63" s="217" t="s">
        <v>251</v>
      </c>
      <c r="E63" s="276" t="s">
        <v>252</v>
      </c>
      <c r="F63" s="213"/>
      <c r="G63" s="214"/>
    </row>
    <row r="64" spans="1:9" x14ac:dyDescent="0.25">
      <c r="A64" s="209" t="s">
        <v>250</v>
      </c>
      <c r="B64" s="232">
        <v>8</v>
      </c>
      <c r="C64" s="277">
        <v>7.48</v>
      </c>
      <c r="D64" s="217" t="s">
        <v>251</v>
      </c>
      <c r="E64" s="276" t="s">
        <v>252</v>
      </c>
      <c r="F64" s="213"/>
      <c r="G64" s="214"/>
    </row>
    <row r="65" spans="1:15" ht="17.25" x14ac:dyDescent="0.25">
      <c r="A65" s="278" t="s">
        <v>253</v>
      </c>
      <c r="B65" s="255" t="s">
        <v>13</v>
      </c>
      <c r="C65" s="279">
        <v>3.3999999999999998E-3</v>
      </c>
      <c r="D65" s="255" t="s">
        <v>254</v>
      </c>
      <c r="E65" s="280" t="s">
        <v>255</v>
      </c>
      <c r="F65" s="259"/>
      <c r="G65" s="281"/>
    </row>
    <row r="66" spans="1:15" ht="17.25" x14ac:dyDescent="0.25">
      <c r="A66" s="278" t="s">
        <v>253</v>
      </c>
      <c r="B66" s="255" t="s">
        <v>13</v>
      </c>
      <c r="C66" s="279">
        <v>-7.4300000000000005E-2</v>
      </c>
      <c r="D66" s="255" t="s">
        <v>256</v>
      </c>
      <c r="E66" s="280" t="s">
        <v>257</v>
      </c>
      <c r="F66" s="259"/>
      <c r="G66" s="281"/>
      <c r="O66" s="44"/>
    </row>
    <row r="67" spans="1:15" x14ac:dyDescent="0.25">
      <c r="A67" s="278" t="s">
        <v>253</v>
      </c>
      <c r="B67" s="255" t="s">
        <v>13</v>
      </c>
      <c r="C67" s="279">
        <v>6.83E-2</v>
      </c>
      <c r="D67" s="255" t="s">
        <v>258</v>
      </c>
      <c r="E67" s="280" t="s">
        <v>259</v>
      </c>
      <c r="F67" s="259"/>
      <c r="G67" s="281"/>
      <c r="O67" s="44"/>
    </row>
    <row r="68" spans="1:15" ht="15.75" thickBot="1" x14ac:dyDescent="0.3">
      <c r="A68" s="282" t="s">
        <v>253</v>
      </c>
      <c r="B68" s="283" t="s">
        <v>13</v>
      </c>
      <c r="C68" s="284">
        <v>9.9469999999999992</v>
      </c>
      <c r="D68" s="283" t="s">
        <v>260</v>
      </c>
      <c r="E68" s="285" t="s">
        <v>261</v>
      </c>
      <c r="F68" s="286"/>
      <c r="G68" s="287"/>
    </row>
    <row r="69" spans="1:15" ht="15.75" thickBot="1" x14ac:dyDescent="0.3"/>
    <row r="70" spans="1:15" ht="19.5" thickBot="1" x14ac:dyDescent="0.35">
      <c r="A70" s="288" t="s">
        <v>155</v>
      </c>
      <c r="B70" s="289" t="s">
        <v>2</v>
      </c>
      <c r="C70" s="289" t="s">
        <v>3</v>
      </c>
      <c r="D70" s="289" t="s">
        <v>4</v>
      </c>
      <c r="E70" s="289" t="s">
        <v>5</v>
      </c>
      <c r="F70" s="290" t="s">
        <v>6</v>
      </c>
      <c r="G70" s="290"/>
      <c r="H70" s="290"/>
      <c r="I70" s="291"/>
    </row>
    <row r="71" spans="1:15" x14ac:dyDescent="0.25">
      <c r="A71" s="292" t="s">
        <v>262</v>
      </c>
      <c r="B71" s="211"/>
      <c r="C71" s="211"/>
      <c r="D71" s="211"/>
      <c r="E71" s="211"/>
      <c r="F71" s="233"/>
      <c r="G71" s="233"/>
      <c r="H71" s="293"/>
      <c r="I71" s="294"/>
    </row>
    <row r="72" spans="1:15" ht="18.75" thickBot="1" x14ac:dyDescent="0.3">
      <c r="A72" s="295" t="s">
        <v>263</v>
      </c>
      <c r="B72" s="296">
        <f ca="1">IF(Fsw_Sel=Fsw_max,B17,FORECAST((IF(ISBLANK(Fsw_Sel),Fsw_Recom,Fsw_Sel)), OFFSET(B16:B17,MATCH((IF(ISBLANK(Fsw_Sel),Fsw_Recom,Fsw_Sel)),G16:G17,1)-1,0,2), OFFSET(G16:G17,MATCH((IF(ISBLANK(Fsw_Sel),Fsw_Recom,Fsw_Sel)),G16:G17,1)-1,0,2)))</f>
        <v>0.12373551106427816</v>
      </c>
      <c r="C72" s="296">
        <f ca="1">IF(Fsw_Sel=Fsw_max,C17,FORECAST((IF(ISBLANK(Fsw_Sel),Fsw_Recom,Fsw_Sel)), OFFSET(C16:C17,MATCH((IF(ISBLANK(Fsw_Sel),Fsw_Recom,Fsw_Sel)),G16:G17,1)-1,0,2), OFFSET(G16:G17,MATCH((IF(ISBLANK(Fsw_Sel),Fsw_Recom,Fsw_Sel)),G16:G17,1)-1,0,2)))</f>
        <v>0.16238145416227601</v>
      </c>
      <c r="D72" s="296">
        <f ca="1">IF(Fsw_Sel=Fsw_max,D17,FORECAST((IF(ISBLANK(Fsw_Sel),Fsw_Recom,Fsw_Sel)), OFFSET(D16:D17,MATCH((IF(ISBLANK(Fsw_Sel),Fsw_Recom,Fsw_Sel)),G16:G17,1)-1,0,2), OFFSET(G16:G17,MATCH((IF(ISBLANK(Fsw_Sel),Fsw_Recom,Fsw_Sel)),G16:G17,1)-1,0,2)))</f>
        <v>0.20102739726027388</v>
      </c>
      <c r="E72" s="297" t="s">
        <v>178</v>
      </c>
      <c r="F72" s="298" t="s">
        <v>264</v>
      </c>
      <c r="G72" s="285"/>
      <c r="H72" s="286"/>
      <c r="I72" s="299"/>
    </row>
    <row r="73" spans="1:15" ht="15.75" thickBot="1" x14ac:dyDescent="0.3">
      <c r="A73" s="300"/>
      <c r="B73" s="300"/>
      <c r="C73" s="300"/>
      <c r="D73" s="300"/>
      <c r="E73" s="300"/>
      <c r="F73" s="293"/>
      <c r="G73" s="293"/>
      <c r="H73" s="301"/>
      <c r="I73" s="302"/>
    </row>
    <row r="74" spans="1:15" ht="15.75" x14ac:dyDescent="0.25">
      <c r="A74" s="303"/>
      <c r="B74" s="304"/>
      <c r="C74" s="304"/>
      <c r="D74" s="304"/>
      <c r="E74" s="304"/>
      <c r="F74" s="304"/>
      <c r="G74" s="304"/>
      <c r="H74" s="304"/>
      <c r="I74" s="305"/>
    </row>
    <row r="75" spans="1:15" ht="15.75" thickBot="1" x14ac:dyDescent="0.3">
      <c r="A75" s="306"/>
      <c r="B75" s="307"/>
      <c r="C75" s="307"/>
      <c r="D75" s="307"/>
      <c r="E75" s="297"/>
      <c r="F75" s="308"/>
      <c r="G75" s="308"/>
      <c r="H75" s="308"/>
      <c r="I75" s="309"/>
    </row>
  </sheetData>
  <sheetProtection algorithmName="SHA-512" hashValue="H0lUnI10X9bTsOe2qYAiDqWx2tPr6nhz0+C/QjxW1eJbksiq0JQBpjNXWzmwZG49L9/hROmk+8SqwjM0Hc0TZQ==" saltValue="COXEimbDbY7EFGP6b8iILA==" spinCount="100000" sheet="1" objects="1" scenarios="1" selectLockedCells="1" selectUnlockedCells="1"/>
  <mergeCells count="13">
    <mergeCell ref="P5:Q5"/>
    <mergeCell ref="O9:R9"/>
    <mergeCell ref="F70:I70"/>
    <mergeCell ref="A1:I1"/>
    <mergeCell ref="F2:I2"/>
    <mergeCell ref="E16:E17"/>
    <mergeCell ref="A16:A17"/>
    <mergeCell ref="A20:A21"/>
    <mergeCell ref="A18:A19"/>
    <mergeCell ref="E18:E19"/>
    <mergeCell ref="E20:E21"/>
    <mergeCell ref="A41:A42"/>
    <mergeCell ref="A43:A44"/>
  </mergeCells>
  <dataValidations count="2">
    <dataValidation type="list" allowBlank="1" showInputMessage="1" showErrorMessage="1" sqref="C38" xr:uid="{00000000-0002-0000-0100-000000000000}">
      <formula1>$J$34:$J$35</formula1>
    </dataValidation>
    <dataValidation type="list" allowBlank="1" showInputMessage="1" showErrorMessage="1" sqref="C34" xr:uid="{00000000-0002-0000-0100-000001000000}">
      <formula1>$J$36:$J$37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149</vt:i4>
      </vt:variant>
    </vt:vector>
  </HeadingPairs>
  <TitlesOfParts>
    <vt:vector size="154" baseType="lpstr">
      <vt:lpstr>Design</vt:lpstr>
      <vt:lpstr>Efficiency</vt:lpstr>
      <vt:lpstr>Dropout</vt:lpstr>
      <vt:lpstr>Snubber</vt:lpstr>
      <vt:lpstr>Constants</vt:lpstr>
      <vt:lpstr>AVOL</vt:lpstr>
      <vt:lpstr>ChosenmaxDuty_max</vt:lpstr>
      <vt:lpstr>ChosenmaxDuty_typ</vt:lpstr>
      <vt:lpstr>ChosenminDuty_max</vt:lpstr>
      <vt:lpstr>ChosenminDuty_typ</vt:lpstr>
      <vt:lpstr>ChosenSE_max</vt:lpstr>
      <vt:lpstr>ChosenSE_min</vt:lpstr>
      <vt:lpstr>ChosenSE_typ</vt:lpstr>
      <vt:lpstr>Cin_Irms</vt:lpstr>
      <vt:lpstr>Cin_min</vt:lpstr>
      <vt:lpstr>Co_num_actual</vt:lpstr>
      <vt:lpstr>Co_num_est</vt:lpstr>
      <vt:lpstr>Co_tot</vt:lpstr>
      <vt:lpstr>Coeff_0V</vt:lpstr>
      <vt:lpstr>Coeff_V</vt:lpstr>
      <vt:lpstr>Coeff_V1</vt:lpstr>
      <vt:lpstr>Coeff_V2</vt:lpstr>
      <vt:lpstr>Coeff_V3</vt:lpstr>
      <vt:lpstr>Cp_sel</vt:lpstr>
      <vt:lpstr>Csnub</vt:lpstr>
      <vt:lpstr>CSnub_Cal</vt:lpstr>
      <vt:lpstr>CSS_min</vt:lpstr>
      <vt:lpstr>CSS_sel</vt:lpstr>
      <vt:lpstr>Cz_max</vt:lpstr>
      <vt:lpstr>Cz_min</vt:lpstr>
      <vt:lpstr>D1_CAP</vt:lpstr>
      <vt:lpstr>DCR_Lo</vt:lpstr>
      <vt:lpstr>DCRLo_Sel</vt:lpstr>
      <vt:lpstr>f_p1</vt:lpstr>
      <vt:lpstr>f_z1</vt:lpstr>
      <vt:lpstr>fc_max</vt:lpstr>
      <vt:lpstr>fc_sel</vt:lpstr>
      <vt:lpstr>Fsw_max</vt:lpstr>
      <vt:lpstr>Fsw_min</vt:lpstr>
      <vt:lpstr>Fsw_Recom</vt:lpstr>
      <vt:lpstr>Fsw_Sel</vt:lpstr>
      <vt:lpstr>Fswtol_max</vt:lpstr>
      <vt:lpstr>Fswtol_min</vt:lpstr>
      <vt:lpstr>gmEA_max</vt:lpstr>
      <vt:lpstr>gmEA_min</vt:lpstr>
      <vt:lpstr>gmEA_typ</vt:lpstr>
      <vt:lpstr>gmPower</vt:lpstr>
      <vt:lpstr>IC</vt:lpstr>
      <vt:lpstr>ILIM5_max</vt:lpstr>
      <vt:lpstr>ILIM5_min</vt:lpstr>
      <vt:lpstr>ILIM5_typ</vt:lpstr>
      <vt:lpstr>ILIM90_max</vt:lpstr>
      <vt:lpstr>ILIM90_min</vt:lpstr>
      <vt:lpstr>ILIM90_typ</vt:lpstr>
      <vt:lpstr>ILIMcurve_offset</vt:lpstr>
      <vt:lpstr>ILIMcurve_slope</vt:lpstr>
      <vt:lpstr>ILIMmargin_Vinmin</vt:lpstr>
      <vt:lpstr>ILIMmargin_Vintyp</vt:lpstr>
      <vt:lpstr>ILpp_max</vt:lpstr>
      <vt:lpstr>ILpp_typ</vt:lpstr>
      <vt:lpstr>Iout</vt:lpstr>
      <vt:lpstr>IQ</vt:lpstr>
      <vt:lpstr>Isat_req</vt:lpstr>
      <vt:lpstr>Lo_max</vt:lpstr>
      <vt:lpstr>Lo_min</vt:lpstr>
      <vt:lpstr>Lo_sel</vt:lpstr>
      <vt:lpstr>Lotol_max</vt:lpstr>
      <vt:lpstr>Lotol_min</vt:lpstr>
      <vt:lpstr>LX_CAP</vt:lpstr>
      <vt:lpstr>LX_Equ_Ind</vt:lpstr>
      <vt:lpstr>LX_Res_Freq</vt:lpstr>
      <vt:lpstr>LX_Res_Period</vt:lpstr>
      <vt:lpstr>ManualCout</vt:lpstr>
      <vt:lpstr>ManualCout_ESL</vt:lpstr>
      <vt:lpstr>ManualCout_ESR</vt:lpstr>
      <vt:lpstr>ManualCout_numb</vt:lpstr>
      <vt:lpstr>MaxDuty_Extend</vt:lpstr>
      <vt:lpstr>maxSYNC_Fsw</vt:lpstr>
      <vt:lpstr>Perc_StepCurrent</vt:lpstr>
      <vt:lpstr>QgHS</vt:lpstr>
      <vt:lpstr>QgLS</vt:lpstr>
      <vt:lpstr>RdsHS_max</vt:lpstr>
      <vt:lpstr>RdsHS_typ</vt:lpstr>
      <vt:lpstr>RdsLS_max</vt:lpstr>
      <vt:lpstr>RdsLS_typ</vt:lpstr>
      <vt:lpstr>RdsON_HS_start</vt:lpstr>
      <vt:lpstr>RdsON_LS_Start</vt:lpstr>
      <vt:lpstr>Reset</vt:lpstr>
      <vt:lpstr>RFB_combo</vt:lpstr>
      <vt:lpstr>RFB1_calc</vt:lpstr>
      <vt:lpstr>RFB1_Sel</vt:lpstr>
      <vt:lpstr>RFB1tol_max</vt:lpstr>
      <vt:lpstr>RFB2_calc</vt:lpstr>
      <vt:lpstr>RFB2_Sel</vt:lpstr>
      <vt:lpstr>RFB2tol_max</vt:lpstr>
      <vt:lpstr>RippleIout_percent</vt:lpstr>
      <vt:lpstr>RLoad_typ</vt:lpstr>
      <vt:lpstr>RSnub</vt:lpstr>
      <vt:lpstr>RSnub_Power</vt:lpstr>
      <vt:lpstr>Rth_typ</vt:lpstr>
      <vt:lpstr>Rz</vt:lpstr>
      <vt:lpstr>Rz_sel</vt:lpstr>
      <vt:lpstr>SE1_max</vt:lpstr>
      <vt:lpstr>SE1_min</vt:lpstr>
      <vt:lpstr>SE1_typ</vt:lpstr>
      <vt:lpstr>SE2_max</vt:lpstr>
      <vt:lpstr>SE2_min</vt:lpstr>
      <vt:lpstr>SE2_typ</vt:lpstr>
      <vt:lpstr>Snub_Damp_Freq</vt:lpstr>
      <vt:lpstr>Snub_Res</vt:lpstr>
      <vt:lpstr>SR_fall</vt:lpstr>
      <vt:lpstr>SR_rise</vt:lpstr>
      <vt:lpstr>SS_delay</vt:lpstr>
      <vt:lpstr>SS_source</vt:lpstr>
      <vt:lpstr>SS_target</vt:lpstr>
      <vt:lpstr>Sync?</vt:lpstr>
      <vt:lpstr>SysDuty_max</vt:lpstr>
      <vt:lpstr>SysDuty_min</vt:lpstr>
      <vt:lpstr>SysDuty_typ</vt:lpstr>
      <vt:lpstr>t_SS_typ</vt:lpstr>
      <vt:lpstr>Tamb_max</vt:lpstr>
      <vt:lpstr>TCR_DCRLo</vt:lpstr>
      <vt:lpstr>TCR_Rds</vt:lpstr>
      <vt:lpstr>tnonOverlap</vt:lpstr>
      <vt:lpstr>toffmin_max</vt:lpstr>
      <vt:lpstr>toffmin_typ</vt:lpstr>
      <vt:lpstr>tonmin_max</vt:lpstr>
      <vt:lpstr>tonmin_typ</vt:lpstr>
      <vt:lpstr>Trans_Co_ESL</vt:lpstr>
      <vt:lpstr>Trans_Co_ESR</vt:lpstr>
      <vt:lpstr>Trans_Co_tol</vt:lpstr>
      <vt:lpstr>Trans_Fsw</vt:lpstr>
      <vt:lpstr>Trans_maxCurrent</vt:lpstr>
      <vt:lpstr>Trans_perc</vt:lpstr>
      <vt:lpstr>Trans_stepCurrent</vt:lpstr>
      <vt:lpstr>Trans_Vo</vt:lpstr>
      <vt:lpstr>Trans_Vopp</vt:lpstr>
      <vt:lpstr>Transnumb_Cap</vt:lpstr>
      <vt:lpstr>UVLO_hys</vt:lpstr>
      <vt:lpstr>UVLO_max</vt:lpstr>
      <vt:lpstr>UVLO_mult</vt:lpstr>
      <vt:lpstr>UVLO_typ</vt:lpstr>
      <vt:lpstr>UVLOhys_min</vt:lpstr>
      <vt:lpstr>VFB_max</vt:lpstr>
      <vt:lpstr>VFB_min</vt:lpstr>
      <vt:lpstr>VFB_typ</vt:lpstr>
      <vt:lpstr>VFBtol_max</vt:lpstr>
      <vt:lpstr>VFBtol_min</vt:lpstr>
      <vt:lpstr>Vin_max</vt:lpstr>
      <vt:lpstr>Vin_typ</vt:lpstr>
      <vt:lpstr>Vout</vt:lpstr>
      <vt:lpstr>Vout_rpp</vt:lpstr>
      <vt:lpstr>Vout_typ</vt:lpstr>
      <vt:lpstr>VSD_LS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2019-07-12T15:46:14Z</dcterms:modified>
</cp:coreProperties>
</file>